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AICA1718_OCT_ABR" sheetId="1" r:id="rId4"/>
    <sheet state="hidden" name="AICA1718_OCT_MAR" sheetId="2" r:id="rId5"/>
    <sheet state="hidden" name="AICA1819_OCT_ABR" sheetId="3" r:id="rId6"/>
    <sheet state="hidden" name="AICA1819_OCT_MAR" sheetId="4" r:id="rId7"/>
    <sheet state="hidden" name="AICA1920_OCT_ABR" sheetId="5" r:id="rId8"/>
    <sheet state="hidden" name="AICA1920_OCT_MAR" sheetId="6" r:id="rId9"/>
    <sheet state="hidden" name="AICA2021_OCT_MAR" sheetId="7" r:id="rId10"/>
    <sheet state="visible" name="PORTADA" sheetId="8" r:id="rId11"/>
    <sheet state="hidden" name="DIAGRAMAS" sheetId="9" r:id="rId12"/>
    <sheet state="visible" name="SECTORIAL" sheetId="10" r:id="rId13"/>
    <sheet state="visible" name="DATOS" sheetId="11" r:id="rId14"/>
    <sheet state="visible" name="AGROCOMPOSTAJE" sheetId="12" r:id="rId15"/>
    <sheet state="visible" name="LOGÍSTICA" sheetId="13" r:id="rId16"/>
    <sheet state="visible" name="VALORIZACIÓN" sheetId="14" r:id="rId17"/>
  </sheets>
  <definedNames/>
  <calcPr/>
  <extLst>
    <ext uri="GoogleSheetsCustomDataVersion2">
      <go:sheetsCustomData xmlns:go="http://customooxmlschemas.google.com/" r:id="rId18" roundtripDataChecksum="UEFfl1Ke/QXAQkjbtQLY7ucfBidEye4bRpNsaysMq/A="/>
    </ext>
  </extLst>
</workbook>
</file>

<file path=xl/sharedStrings.xml><?xml version="1.0" encoding="utf-8"?>
<sst xmlns="http://schemas.openxmlformats.org/spreadsheetml/2006/main" count="522" uniqueCount="125">
  <si>
    <t>ACEITUNA MOLTURADA</t>
  </si>
  <si>
    <t>Número de almazaras cooperativas</t>
  </si>
  <si>
    <t>OCTUBRE</t>
  </si>
  <si>
    <t xml:space="preserve">NOVIEMBRE </t>
  </si>
  <si>
    <t>DICIEMBRE</t>
  </si>
  <si>
    <t>ENERO</t>
  </si>
  <si>
    <t>FEBRERO</t>
  </si>
  <si>
    <t>MARZO</t>
  </si>
  <si>
    <t>ABRIL</t>
  </si>
  <si>
    <t>TOTAL (toneladas/año)</t>
  </si>
  <si>
    <t>MEDIA (toneladas/coop)</t>
  </si>
  <si>
    <t>ALICANTE</t>
  </si>
  <si>
    <t>CASTELLÓN</t>
  </si>
  <si>
    <t>VALENCIA</t>
  </si>
  <si>
    <t>TOTAL</t>
  </si>
  <si>
    <t>RENDIMIENTO</t>
  </si>
  <si>
    <t>ACEITE PRODUCIDO</t>
  </si>
  <si>
    <t>ALPERUJO(Aproximación)(Aceituna Molturada - Aceite Producido)</t>
  </si>
  <si>
    <t>MAXIMO MENSUAL (tonedadas/coop)</t>
  </si>
  <si>
    <t>MAXIMO DIARIO (tonedadas/coop)</t>
  </si>
  <si>
    <t>CAMPAÑA 17/18</t>
  </si>
  <si>
    <t>CAMPAÑA 18/19</t>
  </si>
  <si>
    <t>CAMPAÑA 19/20</t>
  </si>
  <si>
    <t>CAMPAÑA 20/21</t>
  </si>
  <si>
    <t>Agua de lavado</t>
  </si>
  <si>
    <t>Alperujo</t>
  </si>
  <si>
    <t xml:space="preserve">Alperujo </t>
  </si>
  <si>
    <t>Aceitunas</t>
  </si>
  <si>
    <t>Hueso (7% aceituna)</t>
  </si>
  <si>
    <t>AOVE (20% aceituna)</t>
  </si>
  <si>
    <t>Agua residual</t>
  </si>
  <si>
    <t xml:space="preserve">Fuente: AICA </t>
  </si>
  <si>
    <t>https://www.aica.gob.es</t>
  </si>
  <si>
    <t>Nº almazaras cooperativas</t>
  </si>
  <si>
    <t>COM. VALENCIANA</t>
  </si>
  <si>
    <t>PROMEDIO</t>
  </si>
  <si>
    <t>ALPERUJO Aproximación</t>
  </si>
  <si>
    <t>(Aceituna Molturada - Aceite Producido)</t>
  </si>
  <si>
    <t>INTRODUCCIÓN DE DATOS</t>
  </si>
  <si>
    <t>MAXIMO MENSUAL (tonedadas/mes)</t>
  </si>
  <si>
    <t>Introducir en esta fila previsión mensual de aceituna molturada. Por defecto incluye promedio sectorial de la campaña 20/21</t>
  </si>
  <si>
    <t>RENDIMIENTO ESPERADO</t>
  </si>
  <si>
    <t>Introducir en esta fila previsión mensual de rendimiento. Por defecto incluye promedio sectorial de la campaña 20/21</t>
  </si>
  <si>
    <t>OUTPUTS</t>
  </si>
  <si>
    <t>COOPERATIVA</t>
  </si>
  <si>
    <t>DESHUESADO</t>
  </si>
  <si>
    <t xml:space="preserve">% aceituna molturada </t>
  </si>
  <si>
    <t>(0% si no dispone de deshuesadora)</t>
  </si>
  <si>
    <t>ALPERUJO DESHUESADO Aproximación</t>
  </si>
  <si>
    <t>(Alperujo sin Deshuesar - Deshuesado)</t>
  </si>
  <si>
    <t>PARÁMETROS COMPOSTAJE</t>
  </si>
  <si>
    <t>Capacidad procesada (toneladas)</t>
  </si>
  <si>
    <t>Densidad estimada Kg/m3</t>
  </si>
  <si>
    <t>Planta agrocompostaje</t>
  </si>
  <si>
    <t>Subproductos utilizados</t>
  </si>
  <si>
    <t>Hojín</t>
  </si>
  <si>
    <t>Gallinaza</t>
  </si>
  <si>
    <t>A la salida de almazara</t>
  </si>
  <si>
    <t>Alperujo+Hojín</t>
  </si>
  <si>
    <t>Mezcla antes compostaje</t>
  </si>
  <si>
    <t>Alperujo+Hojín+Gallinaza</t>
  </si>
  <si>
    <t>COMPOST</t>
  </si>
  <si>
    <t>Rendimiento</t>
  </si>
  <si>
    <t>INGRESOS</t>
  </si>
  <si>
    <t>TOTAL (euros)</t>
  </si>
  <si>
    <t>Valor comercial Compost</t>
  </si>
  <si>
    <t>€/t</t>
  </si>
  <si>
    <t>Ahorro gestión Alperujo</t>
  </si>
  <si>
    <t>INVERSIONES</t>
  </si>
  <si>
    <t>Tractor 150 CV con pala cargadora cargadora acoplada</t>
  </si>
  <si>
    <t>Bañera de 2 ejes con capacidad de carga de 20.000 Kg</t>
  </si>
  <si>
    <t xml:space="preserve">Volteadora de compost de arrastre con rendimiento 400 m3/h </t>
  </si>
  <si>
    <t>Remolque espacidor con molinetes con capacidad de 13.500 Kg</t>
  </si>
  <si>
    <t>TOTAL (+ 5%)</t>
  </si>
  <si>
    <t>COSTES</t>
  </si>
  <si>
    <t>Coste mano de obra maquinaria</t>
  </si>
  <si>
    <t>€/h</t>
  </si>
  <si>
    <t>Precio gasóleo</t>
  </si>
  <si>
    <t>€/l</t>
  </si>
  <si>
    <t>Velocidad tractor con remolque</t>
  </si>
  <si>
    <t>km/h</t>
  </si>
  <si>
    <t>ETAPAS COMPOSTAJE</t>
  </si>
  <si>
    <t>APROVISIONAMIENTO DE SUBPRODUCTOS A LA PLANTA DE COMPOSTAJE</t>
  </si>
  <si>
    <t>Capacidad de carga (toneladas)</t>
  </si>
  <si>
    <t>Recorrido de viajes (kilómetros)</t>
  </si>
  <si>
    <t>Estimación de tiempos (horas)</t>
  </si>
  <si>
    <t>Coste combustible (euros)</t>
  </si>
  <si>
    <t>Coste mano de obra (euros)</t>
  </si>
  <si>
    <t>Desde almazaras</t>
  </si>
  <si>
    <t>Km</t>
  </si>
  <si>
    <t>Desde granjas</t>
  </si>
  <si>
    <t xml:space="preserve">Compra </t>
  </si>
  <si>
    <t>Transporte</t>
  </si>
  <si>
    <t>MONTAJE PILAS DE COMPOSTAJE</t>
  </si>
  <si>
    <t>hora por carga recibida desde almazara</t>
  </si>
  <si>
    <t>Nº operaciones</t>
  </si>
  <si>
    <t>VOLTEO PILAS DE COMPOSTAJE</t>
  </si>
  <si>
    <t>horas por volteo</t>
  </si>
  <si>
    <t>EXPEDICIÓN DE COMPOST A GRANEL</t>
  </si>
  <si>
    <t>Capacidad de reparto (toneladas)</t>
  </si>
  <si>
    <t>Desde planta compost</t>
  </si>
  <si>
    <t>Reparto fincas socios</t>
  </si>
  <si>
    <t>Resto</t>
  </si>
  <si>
    <t>ASISTENCIA TÉCNICA Y GASTOS FUNCIONAMIENTO</t>
  </si>
  <si>
    <t>MARGEN SIN AMORTIZACIONES</t>
  </si>
  <si>
    <t>MARGEN CON AMORTIZACIONES</t>
  </si>
  <si>
    <t>Tasa actualización</t>
  </si>
  <si>
    <t>VAN a 5 años</t>
  </si>
  <si>
    <t xml:space="preserve">TIR a 5 años </t>
  </si>
  <si>
    <t>LOGÍSTICA SUBPRODUCTOS</t>
  </si>
  <si>
    <t>Número de transportes</t>
  </si>
  <si>
    <t>Volumen transportado (toneladas)</t>
  </si>
  <si>
    <t>Límites subproductos (toneladas)</t>
  </si>
  <si>
    <r>
      <rPr>
        <rFont val="Calibri"/>
        <b/>
        <color theme="1"/>
        <sz val="11.0"/>
      </rPr>
      <t xml:space="preserve">UD TRANSPORTE </t>
    </r>
    <r>
      <rPr>
        <rFont val="Calibri"/>
        <b/>
        <color theme="1"/>
        <sz val="10.0"/>
      </rPr>
      <t>(t/transporte)</t>
    </r>
  </si>
  <si>
    <t>ALIMENTACIÓN ANIMAL</t>
  </si>
  <si>
    <t>AGROCOMPOSTAJE</t>
  </si>
  <si>
    <t>ORUJERA</t>
  </si>
  <si>
    <t>OTROS</t>
  </si>
  <si>
    <t>(Abono directo)</t>
  </si>
  <si>
    <t>PRECIOS SUBPRODUCTOS</t>
  </si>
  <si>
    <t>HUESO</t>
  </si>
  <si>
    <t>€/tonelada</t>
  </si>
  <si>
    <t>VALORIZACIÓN ECONÓMICA</t>
  </si>
  <si>
    <t>TOTALES</t>
  </si>
  <si>
    <t>VALORIZACIÓN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</si>
</sst>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"/>
    <numFmt numFmtId="165" formatCode="#,##0.00\ &quot;€&quot;"/>
    <numFmt numFmtId="166" formatCode="#,##0.00\ &quot;€&quot;;[Red]\-#,##0.00\ &quot;€&quot;"/>
    <numFmt numFmtId="167" formatCode="#,##0\ &quot;€&quot;"/>
  </numFmts>
  <fonts count="16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sz val="11.0"/>
      <color rgb="FFFF0000"/>
      <name val="Calibri"/>
    </font>
    <font>
      <b/>
      <sz val="11.0"/>
      <color rgb="FFFF0000"/>
      <name val="Calibri"/>
    </font>
    <font>
      <b/>
      <sz val="16.0"/>
      <color theme="1"/>
      <name val="Calibri"/>
    </font>
    <font>
      <u/>
      <sz val="11.0"/>
      <color theme="10"/>
      <name val="Calibri"/>
    </font>
    <font>
      <b/>
      <sz val="11.0"/>
      <color theme="0"/>
      <name val="Calibri"/>
    </font>
    <font>
      <b/>
      <i/>
      <sz val="11.0"/>
      <color theme="1"/>
      <name val="Calibri"/>
    </font>
    <font>
      <sz val="8.0"/>
      <color theme="1"/>
      <name val="Calibri"/>
    </font>
    <font>
      <i/>
      <sz val="11.0"/>
      <color theme="1"/>
      <name val="Calibri"/>
    </font>
    <font>
      <sz val="11.0"/>
      <color theme="0"/>
      <name val="Calibri"/>
    </font>
    <font>
      <sz val="10.0"/>
      <color theme="1"/>
      <name val="Calibri"/>
    </font>
    <font>
      <sz val="9.0"/>
      <color theme="1"/>
      <name val="Calibri"/>
    </font>
    <font>
      <b/>
      <i/>
      <sz val="10.0"/>
      <color theme="1"/>
      <name val="Calibri"/>
    </font>
  </fonts>
  <fills count="18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  <fill>
      <patternFill patternType="solid">
        <fgColor rgb="FFA8D08D"/>
        <bgColor rgb="FFA8D08D"/>
      </patternFill>
    </fill>
    <fill>
      <patternFill patternType="solid">
        <fgColor rgb="FF385623"/>
        <bgColor rgb="FF385623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FEF2CB"/>
        <bgColor rgb="FFFEF2CB"/>
      </patternFill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FFE598"/>
        <bgColor rgb="FFFFE598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  <fill>
      <patternFill patternType="solid">
        <fgColor rgb="FFECECEC"/>
        <bgColor rgb="FFECECEC"/>
      </patternFill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</fills>
  <borders count="27">
    <border/>
    <border>
      <left/>
      <right/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0" fillId="0" fontId="1" numFmtId="0" xfId="0" applyFont="1"/>
    <xf borderId="0" fillId="0" fontId="3" numFmtId="0" xfId="0" applyFont="1"/>
    <xf borderId="0" fillId="0" fontId="2" numFmtId="0" xfId="0" applyFont="1"/>
    <xf borderId="0" fillId="0" fontId="2" numFmtId="2" xfId="0" applyFont="1" applyNumberFormat="1"/>
    <xf borderId="0" fillId="0" fontId="2" numFmtId="164" xfId="0" applyFont="1" applyNumberFormat="1"/>
    <xf borderId="0" fillId="0" fontId="1" numFmtId="0" xfId="0" applyAlignment="1" applyFont="1">
      <alignment horizontal="right"/>
    </xf>
    <xf borderId="0" fillId="0" fontId="1" numFmtId="2" xfId="0" applyFont="1" applyNumberFormat="1"/>
    <xf borderId="0" fillId="0" fontId="4" numFmtId="2" xfId="0" applyFont="1" applyNumberFormat="1"/>
    <xf borderId="0" fillId="0" fontId="4" numFmtId="0" xfId="0" applyFont="1"/>
    <xf borderId="0" fillId="0" fontId="5" numFmtId="2" xfId="0" applyFont="1" applyNumberFormat="1"/>
    <xf borderId="0" fillId="0" fontId="1" numFmtId="164" xfId="0" applyFont="1" applyNumberFormat="1"/>
    <xf borderId="0" fillId="0" fontId="2" numFmtId="0" xfId="0" applyAlignment="1" applyFont="1">
      <alignment horizontal="right"/>
    </xf>
    <xf borderId="0" fillId="0" fontId="2" numFmtId="9" xfId="0" applyFont="1" applyNumberForma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3" numFmtId="1" xfId="0" applyFont="1" applyNumberFormat="1"/>
    <xf borderId="0" fillId="0" fontId="2" numFmtId="1" xfId="0" applyFont="1" applyNumberFormat="1"/>
    <xf borderId="1" fillId="2" fontId="6" numFmtId="0" xfId="0" applyAlignment="1" applyBorder="1" applyFill="1" applyFont="1">
      <alignment vertical="top"/>
    </xf>
    <xf borderId="1" fillId="2" fontId="1" numFmtId="0" xfId="0" applyAlignment="1" applyBorder="1" applyFont="1">
      <alignment vertical="top"/>
    </xf>
    <xf borderId="1" fillId="2" fontId="2" numFmtId="0" xfId="0" applyBorder="1" applyFont="1"/>
    <xf borderId="1" fillId="2" fontId="7" numFmtId="0" xfId="0" applyBorder="1" applyFont="1"/>
    <xf borderId="2" fillId="2" fontId="1" numFmtId="0" xfId="0" applyAlignment="1" applyBorder="1" applyFont="1">
      <alignment vertical="top"/>
    </xf>
    <xf borderId="2" fillId="2" fontId="2" numFmtId="0" xfId="0" applyBorder="1" applyFont="1"/>
    <xf borderId="2" fillId="2" fontId="1" numFmtId="0" xfId="0" applyAlignment="1" applyBorder="1" applyFont="1">
      <alignment horizontal="center" shrinkToFit="0" wrapText="1"/>
    </xf>
    <xf borderId="2" fillId="2" fontId="2" numFmtId="0" xfId="0" applyAlignment="1" applyBorder="1" applyFont="1">
      <alignment horizontal="right"/>
    </xf>
    <xf borderId="3" fillId="3" fontId="2" numFmtId="0" xfId="0" applyAlignment="1" applyBorder="1" applyFill="1" applyFont="1">
      <alignment horizontal="center"/>
    </xf>
    <xf borderId="4" fillId="0" fontId="2" numFmtId="0" xfId="0" applyBorder="1" applyFont="1"/>
    <xf borderId="4" fillId="0" fontId="2" numFmtId="164" xfId="0" applyBorder="1" applyFont="1" applyNumberFormat="1"/>
    <xf borderId="5" fillId="0" fontId="2" numFmtId="0" xfId="0" applyBorder="1" applyFont="1"/>
    <xf borderId="6" fillId="3" fontId="2" numFmtId="0" xfId="0" applyAlignment="1" applyBorder="1" applyFont="1">
      <alignment horizontal="center"/>
    </xf>
    <xf borderId="7" fillId="0" fontId="2" numFmtId="0" xfId="0" applyBorder="1" applyFont="1"/>
    <xf borderId="8" fillId="3" fontId="2" numFmtId="0" xfId="0" applyAlignment="1" applyBorder="1" applyFont="1">
      <alignment horizontal="center"/>
    </xf>
    <xf borderId="9" fillId="0" fontId="2" numFmtId="0" xfId="0" applyBorder="1" applyFont="1"/>
    <xf borderId="10" fillId="0" fontId="2" numFmtId="0" xfId="0" applyBorder="1" applyFont="1"/>
    <xf borderId="2" fillId="4" fontId="2" numFmtId="0" xfId="0" applyBorder="1" applyFill="1" applyFont="1"/>
    <xf borderId="2" fillId="4" fontId="1" numFmtId="0" xfId="0" applyBorder="1" applyFont="1"/>
    <xf borderId="2" fillId="4" fontId="1" numFmtId="0" xfId="0" applyAlignment="1" applyBorder="1" applyFont="1">
      <alignment horizontal="center"/>
    </xf>
    <xf borderId="2" fillId="4" fontId="2" numFmtId="2" xfId="0" applyBorder="1" applyFont="1" applyNumberFormat="1"/>
    <xf borderId="11" fillId="5" fontId="8" numFmtId="0" xfId="0" applyAlignment="1" applyBorder="1" applyFill="1" applyFont="1">
      <alignment horizontal="right"/>
    </xf>
    <xf borderId="12" fillId="5" fontId="8" numFmtId="1" xfId="0" applyBorder="1" applyFont="1" applyNumberFormat="1"/>
    <xf borderId="13" fillId="5" fontId="8" numFmtId="1" xfId="0" applyBorder="1" applyFont="1" applyNumberFormat="1"/>
    <xf borderId="0" fillId="0" fontId="1" numFmtId="1" xfId="0" applyFont="1" applyNumberFormat="1"/>
    <xf borderId="2" fillId="2" fontId="1" numFmtId="0" xfId="0" applyBorder="1" applyFont="1"/>
    <xf borderId="2" fillId="2" fontId="1" numFmtId="0" xfId="0" applyAlignment="1" applyBorder="1" applyFont="1">
      <alignment horizontal="right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2" fillId="5" fontId="8" numFmtId="0" xfId="0" applyBorder="1" applyFont="1"/>
    <xf borderId="12" fillId="5" fontId="8" numFmtId="0" xfId="0" applyAlignment="1" applyBorder="1" applyFont="1">
      <alignment horizontal="right"/>
    </xf>
    <xf borderId="13" fillId="5" fontId="8" numFmtId="0" xfId="0" applyBorder="1" applyFont="1"/>
    <xf borderId="2" fillId="2" fontId="2" numFmtId="0" xfId="0" applyAlignment="1" applyBorder="1" applyFont="1">
      <alignment horizontal="center"/>
    </xf>
    <xf borderId="2" fillId="2" fontId="2" numFmtId="164" xfId="0" applyBorder="1" applyFont="1" applyNumberFormat="1"/>
    <xf borderId="2" fillId="2" fontId="2" numFmtId="2" xfId="0" applyBorder="1" applyFont="1" applyNumberFormat="1"/>
    <xf borderId="2" fillId="4" fontId="1" numFmtId="0" xfId="0" applyAlignment="1" applyBorder="1" applyFont="1">
      <alignment horizontal="right"/>
    </xf>
    <xf borderId="2" fillId="4" fontId="1" numFmtId="164" xfId="0" applyBorder="1" applyFont="1" applyNumberFormat="1"/>
    <xf borderId="2" fillId="4" fontId="1" numFmtId="2" xfId="0" applyBorder="1" applyFont="1" applyNumberFormat="1"/>
    <xf borderId="2" fillId="2" fontId="1" numFmtId="0" xfId="0" applyAlignment="1" applyBorder="1" applyFont="1">
      <alignment shrinkToFit="0" wrapText="1"/>
    </xf>
    <xf borderId="2" fillId="2" fontId="9" numFmtId="0" xfId="0" applyAlignment="1" applyBorder="1" applyFont="1">
      <alignment shrinkToFit="0" wrapText="1"/>
    </xf>
    <xf borderId="0" fillId="0" fontId="10" numFmtId="0" xfId="0" applyAlignment="1" applyFont="1">
      <alignment horizontal="center" shrinkToFit="0" wrapText="1"/>
    </xf>
    <xf borderId="11" fillId="6" fontId="1" numFmtId="1" xfId="0" applyBorder="1" applyFill="1" applyFont="1" applyNumberFormat="1"/>
    <xf borderId="12" fillId="6" fontId="1" numFmtId="1" xfId="0" applyBorder="1" applyFont="1" applyNumberFormat="1"/>
    <xf borderId="13" fillId="6" fontId="1" numFmtId="1" xfId="0" applyBorder="1" applyFont="1" applyNumberFormat="1"/>
    <xf borderId="0" fillId="0" fontId="1" numFmtId="1" xfId="0" applyAlignment="1" applyFont="1" applyNumberFormat="1">
      <alignment horizontal="center"/>
    </xf>
    <xf borderId="11" fillId="6" fontId="1" numFmtId="9" xfId="0" applyBorder="1" applyFont="1" applyNumberFormat="1"/>
    <xf borderId="12" fillId="6" fontId="1" numFmtId="9" xfId="0" applyBorder="1" applyFont="1" applyNumberFormat="1"/>
    <xf borderId="13" fillId="6" fontId="1" numFmtId="9" xfId="0" applyBorder="1" applyFont="1" applyNumberFormat="1"/>
    <xf borderId="0" fillId="0" fontId="1" numFmtId="9" xfId="0" applyFont="1" applyNumberFormat="1"/>
    <xf borderId="17" fillId="2" fontId="1" numFmtId="0" xfId="0" applyBorder="1" applyFont="1"/>
    <xf borderId="18" fillId="2" fontId="1" numFmtId="0" xfId="0" applyBorder="1" applyFont="1"/>
    <xf borderId="19" fillId="2" fontId="1" numFmtId="0" xfId="0" applyAlignment="1" applyBorder="1" applyFont="1">
      <alignment horizontal="center" shrinkToFit="0" wrapText="1"/>
    </xf>
    <xf borderId="20" fillId="2" fontId="1" numFmtId="0" xfId="0" applyAlignment="1" applyBorder="1" applyFont="1">
      <alignment horizontal="center" shrinkToFit="0" wrapText="1"/>
    </xf>
    <xf borderId="11" fillId="4" fontId="1" numFmtId="1" xfId="0" applyBorder="1" applyFont="1" applyNumberFormat="1"/>
    <xf borderId="12" fillId="4" fontId="1" numFmtId="1" xfId="0" applyBorder="1" applyFont="1" applyNumberFormat="1"/>
    <xf borderId="13" fillId="4" fontId="1" numFmtId="1" xfId="0" applyBorder="1" applyFont="1" applyNumberFormat="1"/>
    <xf borderId="15" fillId="0" fontId="1" numFmtId="1" xfId="0" applyAlignment="1" applyBorder="1" applyFont="1" applyNumberFormat="1">
      <alignment horizontal="center"/>
    </xf>
    <xf borderId="7" fillId="0" fontId="1" numFmtId="1" xfId="0" applyAlignment="1" applyBorder="1" applyFont="1" applyNumberFormat="1">
      <alignment horizontal="center"/>
    </xf>
    <xf borderId="15" fillId="0" fontId="1" numFmtId="1" xfId="0" applyBorder="1" applyFont="1" applyNumberFormat="1"/>
    <xf borderId="7" fillId="0" fontId="1" numFmtId="1" xfId="0" applyBorder="1" applyFont="1" applyNumberFormat="1"/>
    <xf borderId="19" fillId="2" fontId="2" numFmtId="164" xfId="0" applyBorder="1" applyFont="1" applyNumberFormat="1"/>
    <xf borderId="20" fillId="2" fontId="2" numFmtId="0" xfId="0" applyBorder="1" applyFont="1"/>
    <xf borderId="0" fillId="0" fontId="11" numFmtId="9" xfId="0" applyFont="1" applyNumberFormat="1"/>
    <xf borderId="15" fillId="0" fontId="2" numFmtId="164" xfId="0" applyBorder="1" applyFont="1" applyNumberFormat="1"/>
    <xf borderId="7" fillId="0" fontId="1" numFmtId="0" xfId="0" applyBorder="1" applyFont="1"/>
    <xf borderId="2" fillId="2" fontId="11" numFmtId="9" xfId="0" applyBorder="1" applyFont="1" applyNumberFormat="1"/>
    <xf borderId="20" fillId="2" fontId="1" numFmtId="0" xfId="0" applyBorder="1" applyFont="1"/>
    <xf borderId="2" fillId="6" fontId="1" numFmtId="9" xfId="0" applyAlignment="1" applyBorder="1" applyFont="1" applyNumberFormat="1">
      <alignment horizontal="center"/>
    </xf>
    <xf borderId="2" fillId="2" fontId="11" numFmtId="0" xfId="0" applyBorder="1" applyFont="1"/>
    <xf borderId="15" fillId="0" fontId="2" numFmtId="2" xfId="0" applyBorder="1" applyFont="1" applyNumberFormat="1"/>
    <xf borderId="19" fillId="2" fontId="2" numFmtId="2" xfId="0" applyBorder="1" applyFont="1" applyNumberFormat="1"/>
    <xf borderId="16" fillId="0" fontId="1" numFmtId="1" xfId="0" applyAlignment="1" applyBorder="1" applyFont="1" applyNumberFormat="1">
      <alignment horizontal="center"/>
    </xf>
    <xf borderId="10" fillId="0" fontId="1" numFmtId="1" xfId="0" applyAlignment="1" applyBorder="1" applyFont="1" applyNumberFormat="1">
      <alignment horizontal="center"/>
    </xf>
    <xf borderId="1" fillId="7" fontId="1" numFmtId="0" xfId="0" applyBorder="1" applyFill="1" applyFont="1"/>
    <xf borderId="1" fillId="7" fontId="2" numFmtId="0" xfId="0" applyBorder="1" applyFont="1"/>
    <xf borderId="2" fillId="7" fontId="2" numFmtId="0" xfId="0" applyBorder="1" applyFont="1"/>
    <xf borderId="2" fillId="8" fontId="1" numFmtId="0" xfId="0" applyBorder="1" applyFill="1" applyFont="1"/>
    <xf borderId="2" fillId="8" fontId="1" numFmtId="0" xfId="0" applyAlignment="1" applyBorder="1" applyFont="1">
      <alignment horizontal="center" shrinkToFit="0" wrapText="1"/>
    </xf>
    <xf borderId="2" fillId="9" fontId="8" numFmtId="0" xfId="0" applyAlignment="1" applyBorder="1" applyFill="1" applyFont="1">
      <alignment horizontal="center" shrinkToFit="0" wrapText="1"/>
    </xf>
    <xf borderId="17" fillId="6" fontId="2" numFmtId="9" xfId="0" applyBorder="1" applyFont="1" applyNumberFormat="1"/>
    <xf borderId="21" fillId="6" fontId="2" numFmtId="9" xfId="0" applyBorder="1" applyFont="1" applyNumberFormat="1"/>
    <xf borderId="21" fillId="6" fontId="2" numFmtId="0" xfId="0" applyAlignment="1" applyBorder="1" applyFont="1">
      <alignment horizontal="center"/>
    </xf>
    <xf borderId="18" fillId="6" fontId="2" numFmtId="0" xfId="0" applyAlignment="1" applyBorder="1" applyFont="1">
      <alignment horizontal="center"/>
    </xf>
    <xf borderId="19" fillId="6" fontId="2" numFmtId="9" xfId="0" applyBorder="1" applyFont="1" applyNumberFormat="1"/>
    <xf borderId="2" fillId="6" fontId="2" numFmtId="9" xfId="0" applyBorder="1" applyFont="1" applyNumberFormat="1"/>
    <xf borderId="2" fillId="6" fontId="2" numFmtId="0" xfId="0" applyAlignment="1" applyBorder="1" applyFont="1">
      <alignment horizontal="center"/>
    </xf>
    <xf borderId="20" fillId="6" fontId="2" numFmtId="0" xfId="0" applyAlignment="1" applyBorder="1" applyFont="1">
      <alignment horizontal="center"/>
    </xf>
    <xf borderId="22" fillId="6" fontId="2" numFmtId="9" xfId="0" applyBorder="1" applyFont="1" applyNumberFormat="1"/>
    <xf borderId="1" fillId="6" fontId="2" numFmtId="9" xfId="0" applyBorder="1" applyFont="1" applyNumberFormat="1"/>
    <xf borderId="1" fillId="6" fontId="2" numFmtId="0" xfId="0" applyAlignment="1" applyBorder="1" applyFont="1">
      <alignment horizontal="center"/>
    </xf>
    <xf borderId="23" fillId="6" fontId="2" numFmtId="0" xfId="0" applyAlignment="1" applyBorder="1" applyFont="1">
      <alignment horizontal="center"/>
    </xf>
    <xf borderId="2" fillId="7" fontId="1" numFmtId="0" xfId="0" applyBorder="1" applyFont="1"/>
    <xf borderId="2" fillId="7" fontId="2" numFmtId="0" xfId="0" applyAlignment="1" applyBorder="1" applyFont="1">
      <alignment horizontal="center"/>
    </xf>
    <xf borderId="2" fillId="7" fontId="2" numFmtId="0" xfId="0" applyAlignment="1" applyBorder="1" applyFont="1">
      <alignment horizontal="right"/>
    </xf>
    <xf borderId="2" fillId="7" fontId="2" numFmtId="9" xfId="0" applyBorder="1" applyFont="1" applyNumberFormat="1"/>
    <xf borderId="2" fillId="10" fontId="5" numFmtId="0" xfId="0" applyAlignment="1" applyBorder="1" applyFill="1" applyFont="1">
      <alignment horizontal="center"/>
    </xf>
    <xf borderId="2" fillId="7" fontId="5" numFmtId="0" xfId="0" applyAlignment="1" applyBorder="1" applyFont="1">
      <alignment horizontal="center"/>
    </xf>
    <xf borderId="2" fillId="11" fontId="1" numFmtId="0" xfId="0" applyBorder="1" applyFill="1" applyFont="1"/>
    <xf borderId="2" fillId="11" fontId="2" numFmtId="9" xfId="0" applyBorder="1" applyFont="1" applyNumberFormat="1"/>
    <xf borderId="2" fillId="11" fontId="2" numFmtId="0" xfId="0" applyBorder="1" applyFont="1"/>
    <xf borderId="2" fillId="6" fontId="2" numFmtId="0" xfId="0" applyBorder="1" applyFont="1"/>
    <xf borderId="0" fillId="0" fontId="2" numFmtId="165" xfId="0" applyFont="1" applyNumberFormat="1"/>
    <xf borderId="0" fillId="0" fontId="2" numFmtId="166" xfId="0" applyFont="1" applyNumberFormat="1"/>
    <xf borderId="0" fillId="0" fontId="2" numFmtId="0" xfId="0" applyAlignment="1" applyFont="1">
      <alignment horizontal="left"/>
    </xf>
    <xf borderId="2" fillId="6" fontId="2" numFmtId="167" xfId="0" applyBorder="1" applyFont="1" applyNumberFormat="1"/>
    <xf borderId="0" fillId="0" fontId="12" numFmtId="167" xfId="0" applyFont="1" applyNumberFormat="1"/>
    <xf borderId="2" fillId="11" fontId="2" numFmtId="2" xfId="0" applyBorder="1" applyFont="1" applyNumberFormat="1"/>
    <xf borderId="2" fillId="12" fontId="2" numFmtId="0" xfId="0" applyBorder="1" applyFill="1" applyFont="1"/>
    <xf borderId="2" fillId="8" fontId="2" numFmtId="0" xfId="0" applyBorder="1" applyFont="1"/>
    <xf borderId="2" fillId="8" fontId="2" numFmtId="0" xfId="0" applyAlignment="1" applyBorder="1" applyFont="1">
      <alignment horizontal="center" shrinkToFit="0" wrapText="1"/>
    </xf>
    <xf borderId="2" fillId="6" fontId="2" numFmtId="3" xfId="0" applyBorder="1" applyFont="1" applyNumberFormat="1"/>
    <xf borderId="0" fillId="0" fontId="2" numFmtId="1" xfId="0" applyAlignment="1" applyFont="1" applyNumberFormat="1">
      <alignment horizontal="center"/>
    </xf>
    <xf borderId="0" fillId="0" fontId="2" numFmtId="2" xfId="0" applyAlignment="1" applyFont="1" applyNumberFormat="1">
      <alignment horizontal="center"/>
    </xf>
    <xf borderId="2" fillId="8" fontId="2" numFmtId="165" xfId="0" applyBorder="1" applyFont="1" applyNumberFormat="1"/>
    <xf borderId="2" fillId="8" fontId="2" numFmtId="2" xfId="0" applyBorder="1" applyFont="1" applyNumberFormat="1"/>
    <xf borderId="2" fillId="12" fontId="2" numFmtId="0" xfId="0" applyAlignment="1" applyBorder="1" applyFont="1">
      <alignment horizontal="left"/>
    </xf>
    <xf borderId="2" fillId="12" fontId="2" numFmtId="1" xfId="0" applyBorder="1" applyFont="1" applyNumberFormat="1"/>
    <xf borderId="2" fillId="12" fontId="2" numFmtId="2" xfId="0" applyBorder="1" applyFont="1" applyNumberFormat="1"/>
    <xf borderId="0" fillId="0" fontId="13" numFmtId="9" xfId="0" applyFont="1" applyNumberFormat="1"/>
    <xf borderId="11" fillId="7" fontId="2" numFmtId="0" xfId="0" applyBorder="1" applyFont="1"/>
    <xf borderId="12" fillId="7" fontId="2" numFmtId="0" xfId="0" applyBorder="1" applyFont="1"/>
    <xf borderId="13" fillId="7" fontId="2" numFmtId="165" xfId="0" applyBorder="1" applyFont="1" applyNumberFormat="1"/>
    <xf borderId="17" fillId="13" fontId="2" numFmtId="0" xfId="0" applyBorder="1" applyFill="1" applyFont="1"/>
    <xf borderId="21" fillId="13" fontId="14" numFmtId="0" xfId="0" applyAlignment="1" applyBorder="1" applyFont="1">
      <alignment horizontal="left"/>
    </xf>
    <xf borderId="21" fillId="13" fontId="2" numFmtId="0" xfId="0" applyBorder="1" applyFont="1"/>
    <xf borderId="18" fillId="13" fontId="2" numFmtId="0" xfId="0" applyBorder="1" applyFont="1"/>
    <xf borderId="19" fillId="13" fontId="2" numFmtId="0" xfId="0" applyBorder="1" applyFont="1"/>
    <xf borderId="2" fillId="13" fontId="2" numFmtId="9" xfId="0" applyAlignment="1" applyBorder="1" applyFont="1" applyNumberFormat="1">
      <alignment horizontal="center"/>
    </xf>
    <xf borderId="2" fillId="13" fontId="2" numFmtId="0" xfId="0" applyBorder="1" applyFont="1"/>
    <xf borderId="20" fillId="13" fontId="2" numFmtId="165" xfId="0" applyAlignment="1" applyBorder="1" applyFont="1" applyNumberFormat="1">
      <alignment horizontal="center"/>
    </xf>
    <xf borderId="20" fillId="13" fontId="2" numFmtId="0" xfId="0" applyAlignment="1" applyBorder="1" applyFont="1">
      <alignment horizontal="center"/>
    </xf>
    <xf borderId="22" fillId="13" fontId="2" numFmtId="0" xfId="0" applyBorder="1" applyFont="1"/>
    <xf borderId="1" fillId="13" fontId="2" numFmtId="0" xfId="0" applyBorder="1" applyFont="1"/>
    <xf borderId="23" fillId="13" fontId="2" numFmtId="9" xfId="0" applyAlignment="1" applyBorder="1" applyFont="1" applyNumberFormat="1">
      <alignment horizontal="center"/>
    </xf>
    <xf borderId="0" fillId="0" fontId="13" numFmtId="165" xfId="0" applyFont="1" applyNumberFormat="1"/>
    <xf borderId="1" fillId="14" fontId="1" numFmtId="0" xfId="0" applyBorder="1" applyFill="1" applyFont="1"/>
    <xf borderId="1" fillId="14" fontId="2" numFmtId="0" xfId="0" applyBorder="1" applyFont="1"/>
    <xf borderId="0" fillId="0" fontId="1" numFmtId="0" xfId="0" applyAlignment="1" applyFont="1">
      <alignment horizontal="left"/>
    </xf>
    <xf borderId="17" fillId="6" fontId="1" numFmtId="1" xfId="0" applyAlignment="1" applyBorder="1" applyFont="1" applyNumberFormat="1">
      <alignment horizontal="center"/>
    </xf>
    <xf borderId="21" fillId="6" fontId="1" numFmtId="1" xfId="0" applyAlignment="1" applyBorder="1" applyFont="1" applyNumberFormat="1">
      <alignment horizontal="center"/>
    </xf>
    <xf borderId="18" fillId="6" fontId="1" numFmtId="1" xfId="0" applyAlignment="1" applyBorder="1" applyFont="1" applyNumberFormat="1">
      <alignment horizontal="center"/>
    </xf>
    <xf borderId="19" fillId="6" fontId="1" numFmtId="1" xfId="0" applyAlignment="1" applyBorder="1" applyFont="1" applyNumberFormat="1">
      <alignment horizontal="center"/>
    </xf>
    <xf borderId="2" fillId="6" fontId="1" numFmtId="1" xfId="0" applyAlignment="1" applyBorder="1" applyFont="1" applyNumberFormat="1">
      <alignment horizontal="center"/>
    </xf>
    <xf borderId="20" fillId="6" fontId="1" numFmtId="1" xfId="0" applyAlignment="1" applyBorder="1" applyFont="1" applyNumberFormat="1">
      <alignment horizontal="center"/>
    </xf>
    <xf borderId="0" fillId="0" fontId="15" numFmtId="0" xfId="0" applyFont="1"/>
    <xf borderId="22" fillId="6" fontId="1" numFmtId="1" xfId="0" applyAlignment="1" applyBorder="1" applyFont="1" applyNumberFormat="1">
      <alignment horizontal="center"/>
    </xf>
    <xf borderId="1" fillId="6" fontId="1" numFmtId="1" xfId="0" applyAlignment="1" applyBorder="1" applyFont="1" applyNumberFormat="1">
      <alignment horizontal="center"/>
    </xf>
    <xf borderId="23" fillId="6" fontId="1" numFmtId="1" xfId="0" applyAlignment="1" applyBorder="1" applyFont="1" applyNumberFormat="1">
      <alignment horizontal="center"/>
    </xf>
    <xf borderId="24" fillId="0" fontId="1" numFmtId="0" xfId="0" applyAlignment="1" applyBorder="1" applyFont="1">
      <alignment horizontal="right"/>
    </xf>
    <xf borderId="25" fillId="0" fontId="2" numFmtId="0" xfId="0" applyBorder="1" applyFont="1"/>
    <xf borderId="25" fillId="0" fontId="2" numFmtId="1" xfId="0" applyAlignment="1" applyBorder="1" applyFont="1" applyNumberFormat="1">
      <alignment horizontal="center"/>
    </xf>
    <xf borderId="26" fillId="0" fontId="1" numFmtId="1" xfId="0" applyAlignment="1" applyBorder="1" applyFont="1" applyNumberFormat="1">
      <alignment horizontal="center"/>
    </xf>
    <xf borderId="1" fillId="15" fontId="1" numFmtId="0" xfId="0" applyBorder="1" applyFill="1" applyFont="1"/>
    <xf borderId="1" fillId="15" fontId="2" numFmtId="0" xfId="0" applyBorder="1" applyFont="1"/>
    <xf borderId="0" fillId="0" fontId="1" numFmtId="0" xfId="0" applyAlignment="1" applyFont="1">
      <alignment horizontal="right" vertical="top"/>
    </xf>
    <xf borderId="17" fillId="6" fontId="1" numFmtId="0" xfId="0" applyAlignment="1" applyBorder="1" applyFont="1">
      <alignment horizontal="center"/>
    </xf>
    <xf borderId="21" fillId="6" fontId="1" numFmtId="0" xfId="0" applyAlignment="1" applyBorder="1" applyFont="1">
      <alignment horizontal="center"/>
    </xf>
    <xf borderId="18" fillId="6" fontId="1" numFmtId="0" xfId="0" applyAlignment="1" applyBorder="1" applyFont="1">
      <alignment horizontal="center"/>
    </xf>
    <xf borderId="22" fillId="6" fontId="1" numFmtId="0" xfId="0" applyAlignment="1" applyBorder="1" applyFont="1">
      <alignment horizontal="center"/>
    </xf>
    <xf borderId="1" fillId="6" fontId="1" numFmtId="0" xfId="0" applyAlignment="1" applyBorder="1" applyFont="1">
      <alignment horizontal="center"/>
    </xf>
    <xf borderId="23" fillId="6" fontId="1" numFmtId="0" xfId="0" applyAlignment="1" applyBorder="1" applyFont="1">
      <alignment horizontal="center"/>
    </xf>
    <xf borderId="1" fillId="15" fontId="1" numFmtId="0" xfId="0" applyAlignment="1" applyBorder="1" applyFont="1">
      <alignment horizontal="left"/>
    </xf>
    <xf borderId="2" fillId="3" fontId="2" numFmtId="2" xfId="0" applyBorder="1" applyFont="1" applyNumberFormat="1"/>
    <xf borderId="2" fillId="16" fontId="2" numFmtId="165" xfId="0" applyBorder="1" applyFill="1" applyFont="1" applyNumberFormat="1"/>
    <xf borderId="2" fillId="3" fontId="2" numFmtId="0" xfId="0" applyBorder="1" applyFont="1"/>
    <xf borderId="12" fillId="8" fontId="1" numFmtId="0" xfId="0" applyAlignment="1" applyBorder="1" applyFont="1">
      <alignment horizontal="right"/>
    </xf>
    <xf borderId="12" fillId="8" fontId="2" numFmtId="0" xfId="0" applyBorder="1" applyFont="1"/>
    <xf borderId="12" fillId="8" fontId="2" numFmtId="165" xfId="0" applyBorder="1" applyFont="1" applyNumberFormat="1"/>
    <xf borderId="11" fillId="17" fontId="2" numFmtId="0" xfId="0" applyBorder="1" applyFill="1" applyFont="1"/>
    <xf borderId="12" fillId="17" fontId="1" numFmtId="0" xfId="0" applyAlignment="1" applyBorder="1" applyFont="1">
      <alignment horizontal="right"/>
    </xf>
    <xf borderId="13" fillId="17" fontId="2" numFmtId="165" xfId="0" applyBorder="1" applyFont="1" applyNumberFormat="1"/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4.jpg"/><Relationship Id="rId2" Type="http://schemas.openxmlformats.org/officeDocument/2006/relationships/image" Target="../media/image13.jpg"/><Relationship Id="rId3" Type="http://schemas.openxmlformats.org/officeDocument/2006/relationships/image" Target="../media/image12.png"/><Relationship Id="rId4" Type="http://schemas.openxmlformats.org/officeDocument/2006/relationships/image" Target="../media/image11.png"/><Relationship Id="rId11" Type="http://schemas.openxmlformats.org/officeDocument/2006/relationships/image" Target="../media/image7.jpg"/><Relationship Id="rId10" Type="http://schemas.openxmlformats.org/officeDocument/2006/relationships/image" Target="../media/image8.jpg"/><Relationship Id="rId12" Type="http://schemas.openxmlformats.org/officeDocument/2006/relationships/image" Target="../media/image6.jpg"/><Relationship Id="rId9" Type="http://schemas.openxmlformats.org/officeDocument/2006/relationships/image" Target="../media/image9.jpg"/><Relationship Id="rId5" Type="http://schemas.openxmlformats.org/officeDocument/2006/relationships/image" Target="../media/image3.jpg"/><Relationship Id="rId6" Type="http://schemas.openxmlformats.org/officeDocument/2006/relationships/image" Target="../media/image5.jpg"/><Relationship Id="rId7" Type="http://schemas.openxmlformats.org/officeDocument/2006/relationships/image" Target="../media/image10.jpg"/><Relationship Id="rId8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152400</xdr:colOff>
      <xdr:row>0</xdr:row>
      <xdr:rowOff>219075</xdr:rowOff>
    </xdr:from>
    <xdr:ext cx="5410200" cy="48958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114300</xdr:rowOff>
    </xdr:from>
    <xdr:ext cx="7762875" cy="39052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57150</xdr:rowOff>
    </xdr:from>
    <xdr:ext cx="36442650" cy="9096375"/>
    <xdr:grpSp>
      <xdr:nvGrpSpPr>
        <xdr:cNvPr id="2" name="Shape 2"/>
        <xdr:cNvGrpSpPr/>
      </xdr:nvGrpSpPr>
      <xdr:grpSpPr>
        <a:xfrm>
          <a:off x="0" y="0"/>
          <a:ext cx="10692000" cy="7560000"/>
          <a:chOff x="0" y="0"/>
          <a:chExt cx="10692000" cy="7560000"/>
        </a:xfrm>
      </xdr:grpSpPr>
      <xdr:grpSp>
        <xdr:nvGrpSpPr>
          <xdr:cNvPr id="3" name="Shape 3"/>
          <xdr:cNvGrpSpPr/>
        </xdr:nvGrpSpPr>
        <xdr:grpSpPr>
          <a:xfrm>
            <a:off x="0" y="0"/>
            <a:ext cx="10692000" cy="7560000"/>
            <a:chOff x="0" y="0"/>
            <a:chExt cx="38823900" cy="9582149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38823900" cy="95821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0"/>
              <a:ext cx="38823900" cy="2159283"/>
            </a:xfrm>
            <a:prstGeom prst="rect">
              <a:avLst/>
            </a:prstGeom>
            <a:solidFill>
              <a:srgbClr val="A8D08C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0" y="4554680"/>
              <a:ext cx="38823900" cy="5027469"/>
            </a:xfrm>
            <a:prstGeom prst="rect">
              <a:avLst/>
            </a:prstGeom>
            <a:solidFill>
              <a:srgbClr val="385623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9922" y="741426"/>
              <a:ext cx="38598763" cy="4603397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rgbClr val="000000"/>
                </a:solidFill>
              </a:endParaRPr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rgbClr val="000000"/>
                </a:solidFill>
              </a:endParaRPr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rgbClr val="000000"/>
                </a:solidFill>
              </a:endParaRPr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rgbClr val="000000"/>
                </a:solidFill>
              </a:endParaRPr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			</a:t>
              </a:r>
              <a:endParaRPr sz="1400"/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b="1" sz="1100">
                <a:solidFill>
                  <a:srgbClr val="000000"/>
                </a:solidFill>
              </a:endParaRPr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b="1" sz="1100">
                <a:solidFill>
                  <a:srgbClr val="000000"/>
                </a:solidFill>
              </a:endParaRPr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4800">
                <a:solidFill>
                  <a:srgbClr val="000000"/>
                </a:solidFill>
              </a:endParaRPr>
            </a:p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rgbClr val="000000"/>
                </a:solidFill>
              </a:endParaRPr>
            </a:p>
          </xdr:txBody>
        </xdr:sp>
      </xdr:grpSp>
    </xdr:grpSp>
    <xdr:clientData fLocksWithSheet="0"/>
  </xdr:oneCellAnchor>
  <xdr:oneCellAnchor>
    <xdr:from>
      <xdr:col>0</xdr:col>
      <xdr:colOff>-19050</xdr:colOff>
      <xdr:row>0</xdr:row>
      <xdr:rowOff>0</xdr:rowOff>
    </xdr:from>
    <xdr:ext cx="38100" cy="0"/>
    <xdr:sp>
      <xdr:nvSpPr>
        <xdr:cNvPr id="8" name="Shape 8"/>
        <xdr:cNvSpPr/>
      </xdr:nvSpPr>
      <xdr:spPr>
        <a:xfrm>
          <a:off x="5346000" y="3780000"/>
          <a:ext cx="0" cy="0"/>
        </a:xfrm>
        <a:custGeom>
          <a:rect b="b" l="l" r="r" t="t"/>
          <a:pathLst>
            <a:path extrusionOk="0" h="367635" w="372014">
              <a:moveTo>
                <a:pt x="0" y="0"/>
              </a:moveTo>
              <a:cubicBezTo>
                <a:pt x="0" y="0"/>
                <a:pt x="0" y="0"/>
                <a:pt x="0" y="0"/>
              </a:cubicBezTo>
              <a:cubicBezTo>
                <a:pt x="0" y="0"/>
                <a:pt x="0" y="0"/>
                <a:pt x="0" y="0"/>
              </a:cubicBezTo>
              <a:cubicBezTo>
                <a:pt x="0" y="0"/>
                <a:pt x="0" y="0"/>
                <a:pt x="0" y="0"/>
              </a:cubicBezTo>
              <a:cubicBezTo>
                <a:pt x="0" y="0"/>
                <a:pt x="0" y="0"/>
                <a:pt x="0" y="0"/>
              </a:cubicBezTo>
              <a:cubicBezTo>
                <a:pt x="0" y="0"/>
                <a:pt x="0" y="0"/>
                <a:pt x="0" y="0"/>
              </a:cubicBezTo>
              <a:cubicBezTo>
                <a:pt x="0" y="0"/>
                <a:pt x="0" y="0"/>
                <a:pt x="0" y="0"/>
              </a:cubicBezTo>
              <a:cubicBezTo>
                <a:pt x="0" y="0"/>
                <a:pt x="0" y="0"/>
                <a:pt x="0" y="0"/>
              </a:cubicBezTo>
              <a:cubicBezTo>
                <a:pt x="0" y="0"/>
                <a:pt x="0" y="0"/>
                <a:pt x="0" y="0"/>
              </a:cubicBezTo>
              <a:cubicBezTo>
                <a:pt x="0" y="0"/>
                <a:pt x="0" y="0"/>
                <a:pt x="0" y="0"/>
              </a:cubicBezTo>
              <a:cubicBezTo>
                <a:pt x="0" y="0"/>
                <a:pt x="0" y="0"/>
                <a:pt x="0" y="0"/>
              </a:cubicBezTo>
              <a:lnTo>
                <a:pt x="0" y="0"/>
              </a:lnTo>
              <a:cubicBezTo>
                <a:pt x="0" y="0"/>
                <a:pt x="0" y="0"/>
                <a:pt x="0" y="0"/>
              </a:cubicBezTo>
              <a:cubicBezTo>
                <a:pt x="0" y="0"/>
                <a:pt x="0" y="0"/>
                <a:pt x="0" y="0"/>
              </a:cubicBezTo>
              <a:lnTo>
                <a:pt x="0" y="0"/>
              </a:lnTo>
              <a:cubicBezTo>
                <a:pt x="0" y="0"/>
                <a:pt x="0" y="0"/>
                <a:pt x="0" y="0"/>
              </a:cubicBezTo>
              <a:cubicBezTo>
                <a:pt x="0" y="0"/>
                <a:pt x="0" y="0"/>
                <a:pt x="0" y="0"/>
              </a:cubicBezTo>
              <a:close/>
            </a:path>
          </a:pathLst>
        </a:custGeom>
        <a:solidFill>
          <a:srgbClr val="385623"/>
        </a:solidFill>
        <a:ln cap="flat" cmpd="sng" w="9525">
          <a:solidFill>
            <a:srgbClr val="385623"/>
          </a:solidFill>
          <a:prstDash val="solid"/>
          <a:miter lim="8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-19050</xdr:colOff>
      <xdr:row>0</xdr:row>
      <xdr:rowOff>0</xdr:rowOff>
    </xdr:from>
    <xdr:ext cx="38100" cy="0"/>
    <xdr:sp>
      <xdr:nvSpPr>
        <xdr:cNvPr id="9" name="Shape 9"/>
        <xdr:cNvSpPr/>
      </xdr:nvSpPr>
      <xdr:spPr>
        <a:xfrm>
          <a:off x="5346000" y="3780000"/>
          <a:ext cx="0" cy="0"/>
        </a:xfrm>
        <a:custGeom>
          <a:rect b="b" l="l" r="r" t="t"/>
          <a:pathLst>
            <a:path extrusionOk="0" h="426959" w="290358">
              <a:moveTo>
                <a:pt x="0" y="0"/>
              </a:moveTo>
              <a:cubicBezTo>
                <a:pt x="0" y="0"/>
                <a:pt x="0" y="0"/>
                <a:pt x="0" y="0"/>
              </a:cubicBezTo>
              <a:lnTo>
                <a:pt x="0" y="0"/>
              </a:lnTo>
              <a:lnTo>
                <a:pt x="0" y="0"/>
              </a:lnTo>
              <a:lnTo>
                <a:pt x="0" y="0"/>
              </a:lnTo>
              <a:cubicBezTo>
                <a:pt x="0" y="0"/>
                <a:pt x="0" y="0"/>
                <a:pt x="0" y="0"/>
              </a:cubicBezTo>
              <a:cubicBezTo>
                <a:pt x="0" y="0"/>
                <a:pt x="0" y="0"/>
                <a:pt x="0" y="0"/>
              </a:cubicBez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cubicBezTo>
                <a:pt x="0" y="0"/>
                <a:pt x="0" y="0"/>
                <a:pt x="0" y="0"/>
              </a:cubicBezTo>
              <a:close/>
            </a:path>
          </a:pathLst>
        </a:custGeom>
        <a:solidFill>
          <a:srgbClr val="A8D08C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-19050</xdr:colOff>
      <xdr:row>0</xdr:row>
      <xdr:rowOff>0</xdr:rowOff>
    </xdr:from>
    <xdr:ext cx="38100" cy="0"/>
    <xdr:sp>
      <xdr:nvSpPr>
        <xdr:cNvPr id="10" name="Shape 10"/>
        <xdr:cNvSpPr/>
      </xdr:nvSpPr>
      <xdr:spPr>
        <a:xfrm>
          <a:off x="5346000" y="3780000"/>
          <a:ext cx="0" cy="0"/>
        </a:xfrm>
        <a:custGeom>
          <a:rect b="b" l="l" r="r" t="t"/>
          <a:pathLst>
            <a:path extrusionOk="0" h="352076" w="447218">
              <a:moveTo>
                <a:pt x="0" y="0"/>
              </a:moveTo>
              <a:lnTo>
                <a:pt x="0" y="0"/>
              </a:lnTo>
              <a:cubicBezTo>
                <a:pt x="0" y="0"/>
                <a:pt x="0" y="0"/>
                <a:pt x="0" y="0"/>
              </a:cubicBezTo>
              <a:cubicBezTo>
                <a:pt x="0" y="0"/>
                <a:pt x="0" y="0"/>
                <a:pt x="0" y="0"/>
              </a:cubicBez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cubicBezTo>
                <a:pt x="0" y="0"/>
                <a:pt x="0" y="0"/>
                <a:pt x="0" y="0"/>
              </a:cubicBezTo>
              <a:cubicBezTo>
                <a:pt x="0" y="0"/>
                <a:pt x="0" y="0"/>
                <a:pt x="0" y="0"/>
              </a:cubicBezTo>
              <a:lnTo>
                <a:pt x="0" y="0"/>
              </a:lnTo>
              <a:close/>
            </a:path>
          </a:pathLst>
        </a:custGeom>
        <a:solidFill>
          <a:srgbClr val="548135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5438775" cy="514350"/>
    <xdr:grpSp>
      <xdr:nvGrpSpPr>
        <xdr:cNvPr id="2" name="Shape 2"/>
        <xdr:cNvGrpSpPr/>
      </xdr:nvGrpSpPr>
      <xdr:grpSpPr>
        <a:xfrm>
          <a:off x="2626613" y="3522825"/>
          <a:ext cx="5438775" cy="514350"/>
          <a:chOff x="2626613" y="3522825"/>
          <a:chExt cx="5438775" cy="514350"/>
        </a:xfrm>
      </xdr:grpSpPr>
      <xdr:grpSp>
        <xdr:nvGrpSpPr>
          <xdr:cNvPr id="11" name="Shape 11"/>
          <xdr:cNvGrpSpPr/>
        </xdr:nvGrpSpPr>
        <xdr:grpSpPr>
          <a:xfrm>
            <a:off x="2626613" y="3522825"/>
            <a:ext cx="5438775" cy="514350"/>
            <a:chOff x="0" y="0"/>
            <a:chExt cx="5814695" cy="539750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5814675" cy="5397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12" name="Shape 12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0" y="6350"/>
              <a:ext cx="1552575" cy="4349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3" name="Shape 13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5327650" y="0"/>
              <a:ext cx="487045" cy="48704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4" name="Shape 14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1676400" y="6350"/>
              <a:ext cx="1274445" cy="5334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5" name="Shape 15"/>
            <xdr:cNvPicPr preferRelativeResize="0"/>
          </xdr:nvPicPr>
          <xdr:blipFill rotWithShape="1">
            <a:blip r:embed="rId4">
              <a:alphaModFix/>
            </a:blip>
            <a:srcRect b="0" l="0" r="0" t="0"/>
            <a:stretch/>
          </xdr:blipFill>
          <xdr:spPr>
            <a:xfrm>
              <a:off x="3117850" y="101600"/>
              <a:ext cx="2005965" cy="35369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3</xdr:col>
      <xdr:colOff>200025</xdr:colOff>
      <xdr:row>17</xdr:row>
      <xdr:rowOff>57150</xdr:rowOff>
    </xdr:from>
    <xdr:ext cx="3019425" cy="1104900"/>
    <xdr:sp>
      <xdr:nvSpPr>
        <xdr:cNvPr id="16" name="Shape 16"/>
        <xdr:cNvSpPr/>
      </xdr:nvSpPr>
      <xdr:spPr>
        <a:xfrm>
          <a:off x="3841050" y="3232313"/>
          <a:ext cx="3009900" cy="10953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385623"/>
            </a:buClr>
            <a:buSzPts val="4000"/>
            <a:buFont typeface="Calibri"/>
            <a:buNone/>
          </a:pPr>
          <a:r>
            <a:rPr b="0" lang="en-US" sz="4000" cap="none">
              <a:solidFill>
                <a:srgbClr val="385623"/>
              </a:solidFill>
              <a:latin typeface="Calibri"/>
              <a:ea typeface="Calibri"/>
              <a:cs typeface="Calibri"/>
              <a:sym typeface="Calibri"/>
            </a:rPr>
            <a:t>ALPERUCOOP </a:t>
          </a:r>
          <a:r>
            <a:rPr b="0" lang="en-US" sz="1200" cap="none">
              <a:solidFill>
                <a:srgbClr val="385623"/>
              </a:solidFill>
              <a:latin typeface="Calibri"/>
              <a:ea typeface="Calibri"/>
              <a:cs typeface="Calibri"/>
              <a:sym typeface="Calibri"/>
            </a:rPr>
            <a:t>v1.0 SEPTIEMBRE 21</a:t>
          </a:r>
          <a:endParaRPr b="0" sz="1200" cap="none">
            <a:solidFill>
              <a:srgbClr val="385623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</xdr:col>
      <xdr:colOff>619125</xdr:colOff>
      <xdr:row>24</xdr:row>
      <xdr:rowOff>161925</xdr:rowOff>
    </xdr:from>
    <xdr:ext cx="1609725" cy="285750"/>
    <xdr:sp>
      <xdr:nvSpPr>
        <xdr:cNvPr id="17" name="Shape 17"/>
        <xdr:cNvSpPr/>
      </xdr:nvSpPr>
      <xdr:spPr>
        <a:xfrm>
          <a:off x="4545900" y="3641888"/>
          <a:ext cx="1600200" cy="2762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385623"/>
            </a:buClr>
            <a:buSzPts val="900"/>
            <a:buFont typeface="Calibri"/>
            <a:buNone/>
          </a:pPr>
          <a:r>
            <a:rPr b="0" lang="en-US" sz="900" cap="none">
              <a:solidFill>
                <a:srgbClr val="385623"/>
              </a:solidFill>
              <a:latin typeface="Calibri"/>
              <a:ea typeface="Calibri"/>
              <a:cs typeface="Calibri"/>
              <a:sym typeface="Calibri"/>
            </a:rPr>
            <a:t>Elaboracion</a:t>
          </a:r>
          <a:endParaRPr b="0" sz="900" cap="none">
            <a:solidFill>
              <a:srgbClr val="385623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400050</xdr:colOff>
      <xdr:row>6</xdr:row>
      <xdr:rowOff>133350</xdr:rowOff>
    </xdr:from>
    <xdr:ext cx="981075" cy="400050"/>
    <xdr:pic>
      <xdr:nvPicPr>
        <xdr:cNvPr id="0" name="image3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590550</xdr:colOff>
      <xdr:row>6</xdr:row>
      <xdr:rowOff>171450</xdr:rowOff>
    </xdr:from>
    <xdr:ext cx="733425" cy="361950"/>
    <xdr:pic>
      <xdr:nvPicPr>
        <xdr:cNvPr id="0" name="image5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590550</xdr:colOff>
      <xdr:row>6</xdr:row>
      <xdr:rowOff>142875</xdr:rowOff>
    </xdr:from>
    <xdr:ext cx="447675" cy="361950"/>
    <xdr:pic>
      <xdr:nvPicPr>
        <xdr:cNvPr id="0" name="image10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371475</xdr:colOff>
      <xdr:row>6</xdr:row>
      <xdr:rowOff>133350</xdr:rowOff>
    </xdr:from>
    <xdr:ext cx="447675" cy="361950"/>
    <xdr:pic>
      <xdr:nvPicPr>
        <xdr:cNvPr id="0" name="image4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161925</xdr:colOff>
      <xdr:row>6</xdr:row>
      <xdr:rowOff>152400</xdr:rowOff>
    </xdr:from>
    <xdr:ext cx="704850" cy="361950"/>
    <xdr:pic>
      <xdr:nvPicPr>
        <xdr:cNvPr id="0" name="image9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161925</xdr:colOff>
      <xdr:row>6</xdr:row>
      <xdr:rowOff>142875</xdr:rowOff>
    </xdr:from>
    <xdr:ext cx="866775" cy="390525"/>
    <xdr:pic>
      <xdr:nvPicPr>
        <xdr:cNvPr id="0" name="image8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381000</xdr:colOff>
      <xdr:row>7</xdr:row>
      <xdr:rowOff>0</xdr:rowOff>
    </xdr:from>
    <xdr:ext cx="752475" cy="438150"/>
    <xdr:pic>
      <xdr:nvPicPr>
        <xdr:cNvPr id="0" name="image7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400050</xdr:colOff>
      <xdr:row>23</xdr:row>
      <xdr:rowOff>180975</xdr:rowOff>
    </xdr:from>
    <xdr:ext cx="1524000" cy="447675"/>
    <xdr:pic>
      <xdr:nvPicPr>
        <xdr:cNvPr descr="Texto&#10;&#10;Descripción generada automáticamente" id="0" name="image6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733425</xdr:colOff>
      <xdr:row>15</xdr:row>
      <xdr:rowOff>161925</xdr:rowOff>
    </xdr:from>
    <xdr:ext cx="2867025" cy="1085850"/>
    <xdr:sp>
      <xdr:nvSpPr>
        <xdr:cNvPr id="18" name="Shape 18"/>
        <xdr:cNvSpPr/>
      </xdr:nvSpPr>
      <xdr:spPr>
        <a:xfrm>
          <a:off x="3917250" y="3241838"/>
          <a:ext cx="2857500" cy="1076325"/>
        </a:xfrm>
        <a:prstGeom prst="rect">
          <a:avLst/>
        </a:prstGeom>
        <a:solidFill>
          <a:schemeClr val="accent6"/>
        </a:solidFill>
        <a:ln cap="flat" cmpd="sng" w="12700">
          <a:solidFill>
            <a:srgbClr val="517E33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1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600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CENTRIFUGACIÓN</a:t>
          </a:r>
          <a:r>
            <a:rPr b="0" lang="en-US" sz="1600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DE 2 FASES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600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(sin deshuesado de alperujo)</a:t>
          </a:r>
          <a:endParaRPr sz="1400"/>
        </a:p>
      </xdr:txBody>
    </xdr:sp>
    <xdr:clientData fLocksWithSheet="0"/>
  </xdr:oneCellAnchor>
  <xdr:oneCellAnchor>
    <xdr:from>
      <xdr:col>6</xdr:col>
      <xdr:colOff>733425</xdr:colOff>
      <xdr:row>17</xdr:row>
      <xdr:rowOff>-9525</xdr:rowOff>
    </xdr:from>
    <xdr:ext cx="2105025" cy="38100"/>
    <xdr:grpSp>
      <xdr:nvGrpSpPr>
        <xdr:cNvPr id="2" name="Shape 2"/>
        <xdr:cNvGrpSpPr/>
      </xdr:nvGrpSpPr>
      <xdr:grpSpPr>
        <a:xfrm>
          <a:off x="4293488" y="3770475"/>
          <a:ext cx="2105025" cy="19050"/>
          <a:chOff x="4293488" y="3770475"/>
          <a:chExt cx="2105025" cy="19050"/>
        </a:xfrm>
      </xdr:grpSpPr>
      <xdr:cxnSp>
        <xdr:nvCxnSpPr>
          <xdr:cNvPr id="19" name="Shape 19"/>
          <xdr:cNvCxnSpPr/>
        </xdr:nvCxnSpPr>
        <xdr:spPr>
          <a:xfrm>
            <a:off x="4293488" y="3770475"/>
            <a:ext cx="2105025" cy="19050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6</xdr:col>
      <xdr:colOff>704850</xdr:colOff>
      <xdr:row>21</xdr:row>
      <xdr:rowOff>-9525</xdr:rowOff>
    </xdr:from>
    <xdr:ext cx="2124075" cy="38100"/>
    <xdr:grpSp>
      <xdr:nvGrpSpPr>
        <xdr:cNvPr id="2" name="Shape 2"/>
        <xdr:cNvGrpSpPr/>
      </xdr:nvGrpSpPr>
      <xdr:grpSpPr>
        <a:xfrm>
          <a:off x="4283963" y="3775238"/>
          <a:ext cx="2124075" cy="9525"/>
          <a:chOff x="4283963" y="3775238"/>
          <a:chExt cx="2124075" cy="9525"/>
        </a:xfrm>
      </xdr:grpSpPr>
      <xdr:cxnSp>
        <xdr:nvCxnSpPr>
          <xdr:cNvPr id="20" name="Shape 20"/>
          <xdr:cNvCxnSpPr/>
        </xdr:nvCxnSpPr>
        <xdr:spPr>
          <a:xfrm flipH="1" rot="10800000">
            <a:off x="4283963" y="3775238"/>
            <a:ext cx="2124075" cy="9525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0</xdr:col>
      <xdr:colOff>104775</xdr:colOff>
      <xdr:row>18</xdr:row>
      <xdr:rowOff>161925</xdr:rowOff>
    </xdr:from>
    <xdr:ext cx="2047875" cy="38100"/>
    <xdr:grpSp>
      <xdr:nvGrpSpPr>
        <xdr:cNvPr id="2" name="Shape 2"/>
        <xdr:cNvGrpSpPr/>
      </xdr:nvGrpSpPr>
      <xdr:grpSpPr>
        <a:xfrm>
          <a:off x="4322063" y="3775238"/>
          <a:ext cx="2047875" cy="9525"/>
          <a:chOff x="4322063" y="3775238"/>
          <a:chExt cx="2047875" cy="9525"/>
        </a:xfrm>
      </xdr:grpSpPr>
      <xdr:cxnSp>
        <xdr:nvCxnSpPr>
          <xdr:cNvPr id="21" name="Shape 21"/>
          <xdr:cNvCxnSpPr/>
        </xdr:nvCxnSpPr>
        <xdr:spPr>
          <a:xfrm flipH="1" rot="10800000">
            <a:off x="4322063" y="3775238"/>
            <a:ext cx="2047875" cy="9525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4</xdr:col>
      <xdr:colOff>723900</xdr:colOff>
      <xdr:row>11</xdr:row>
      <xdr:rowOff>66675</xdr:rowOff>
    </xdr:from>
    <xdr:ext cx="38100" cy="828675"/>
    <xdr:grpSp>
      <xdr:nvGrpSpPr>
        <xdr:cNvPr id="2" name="Shape 2"/>
        <xdr:cNvGrpSpPr/>
      </xdr:nvGrpSpPr>
      <xdr:grpSpPr>
        <a:xfrm>
          <a:off x="5346000" y="3365663"/>
          <a:ext cx="0" cy="828600"/>
          <a:chOff x="5346000" y="3365663"/>
          <a:chExt cx="0" cy="828600"/>
        </a:xfrm>
      </xdr:grpSpPr>
      <xdr:cxnSp>
        <xdr:nvCxnSpPr>
          <xdr:cNvPr id="22" name="Shape 22"/>
          <xdr:cNvCxnSpPr>
            <a:endCxn id="5" idx="0"/>
          </xdr:cNvCxnSpPr>
        </xdr:nvCxnSpPr>
        <xdr:spPr>
          <a:xfrm>
            <a:off x="5346000" y="3365663"/>
            <a:ext cx="0" cy="828600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5</xdr:col>
      <xdr:colOff>0</xdr:colOff>
      <xdr:row>21</xdr:row>
      <xdr:rowOff>171450</xdr:rowOff>
    </xdr:from>
    <xdr:ext cx="38100" cy="828675"/>
    <xdr:grpSp>
      <xdr:nvGrpSpPr>
        <xdr:cNvPr id="2" name="Shape 2"/>
        <xdr:cNvGrpSpPr/>
      </xdr:nvGrpSpPr>
      <xdr:grpSpPr>
        <a:xfrm>
          <a:off x="5346000" y="3365663"/>
          <a:ext cx="0" cy="828675"/>
          <a:chOff x="5346000" y="3365663"/>
          <a:chExt cx="0" cy="828675"/>
        </a:xfrm>
      </xdr:grpSpPr>
      <xdr:cxnSp>
        <xdr:nvCxnSpPr>
          <xdr:cNvPr id="23" name="Shape 23"/>
          <xdr:cNvCxnSpPr/>
        </xdr:nvCxnSpPr>
        <xdr:spPr>
          <a:xfrm>
            <a:off x="5346000" y="3365663"/>
            <a:ext cx="0" cy="828675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13</xdr:col>
      <xdr:colOff>733425</xdr:colOff>
      <xdr:row>15</xdr:row>
      <xdr:rowOff>161925</xdr:rowOff>
    </xdr:from>
    <xdr:ext cx="2867025" cy="1085850"/>
    <xdr:sp>
      <xdr:nvSpPr>
        <xdr:cNvPr id="24" name="Shape 24"/>
        <xdr:cNvSpPr/>
      </xdr:nvSpPr>
      <xdr:spPr>
        <a:xfrm>
          <a:off x="3917250" y="3241838"/>
          <a:ext cx="2857500" cy="1076325"/>
        </a:xfrm>
        <a:prstGeom prst="rect">
          <a:avLst/>
        </a:prstGeom>
        <a:solidFill>
          <a:schemeClr val="accent6"/>
        </a:solidFill>
        <a:ln cap="flat" cmpd="sng" w="12700">
          <a:solidFill>
            <a:srgbClr val="517E33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1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600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CENTRIFUGACIÓN</a:t>
          </a:r>
          <a:r>
            <a:rPr b="0" lang="en-US" sz="1600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DE 2 FASES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0" lang="en-US" sz="1600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(con deshuesado de alperujo)</a:t>
          </a:r>
          <a:endParaRPr sz="1400"/>
        </a:p>
      </xdr:txBody>
    </xdr:sp>
    <xdr:clientData fLocksWithSheet="0"/>
  </xdr:oneCellAnchor>
  <xdr:oneCellAnchor>
    <xdr:from>
      <xdr:col>17</xdr:col>
      <xdr:colOff>581025</xdr:colOff>
      <xdr:row>17</xdr:row>
      <xdr:rowOff>-19050</xdr:rowOff>
    </xdr:from>
    <xdr:ext cx="2219325" cy="38100"/>
    <xdr:grpSp>
      <xdr:nvGrpSpPr>
        <xdr:cNvPr id="2" name="Shape 2"/>
        <xdr:cNvGrpSpPr/>
      </xdr:nvGrpSpPr>
      <xdr:grpSpPr>
        <a:xfrm>
          <a:off x="4236338" y="3780000"/>
          <a:ext cx="2219325" cy="0"/>
          <a:chOff x="4236338" y="3780000"/>
          <a:chExt cx="2219325" cy="0"/>
        </a:xfrm>
      </xdr:grpSpPr>
      <xdr:cxnSp>
        <xdr:nvCxnSpPr>
          <xdr:cNvPr id="25" name="Shape 25"/>
          <xdr:cNvCxnSpPr/>
        </xdr:nvCxnSpPr>
        <xdr:spPr>
          <a:xfrm>
            <a:off x="4236338" y="3780000"/>
            <a:ext cx="2219325" cy="0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17</xdr:col>
      <xdr:colOff>704850</xdr:colOff>
      <xdr:row>21</xdr:row>
      <xdr:rowOff>-9525</xdr:rowOff>
    </xdr:from>
    <xdr:ext cx="2124075" cy="38100"/>
    <xdr:grpSp>
      <xdr:nvGrpSpPr>
        <xdr:cNvPr id="2" name="Shape 2"/>
        <xdr:cNvGrpSpPr/>
      </xdr:nvGrpSpPr>
      <xdr:grpSpPr>
        <a:xfrm>
          <a:off x="4283963" y="3775238"/>
          <a:ext cx="2124075" cy="9525"/>
          <a:chOff x="4283963" y="3775238"/>
          <a:chExt cx="2124075" cy="9525"/>
        </a:xfrm>
      </xdr:grpSpPr>
      <xdr:cxnSp>
        <xdr:nvCxnSpPr>
          <xdr:cNvPr id="20" name="Shape 20"/>
          <xdr:cNvCxnSpPr/>
        </xdr:nvCxnSpPr>
        <xdr:spPr>
          <a:xfrm flipH="1" rot="10800000">
            <a:off x="4283963" y="3775238"/>
            <a:ext cx="2124075" cy="9525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11</xdr:col>
      <xdr:colOff>104775</xdr:colOff>
      <xdr:row>18</xdr:row>
      <xdr:rowOff>161925</xdr:rowOff>
    </xdr:from>
    <xdr:ext cx="2047875" cy="38100"/>
    <xdr:grpSp>
      <xdr:nvGrpSpPr>
        <xdr:cNvPr id="2" name="Shape 2"/>
        <xdr:cNvGrpSpPr/>
      </xdr:nvGrpSpPr>
      <xdr:grpSpPr>
        <a:xfrm>
          <a:off x="4322063" y="3775238"/>
          <a:ext cx="2047875" cy="9525"/>
          <a:chOff x="4322063" y="3775238"/>
          <a:chExt cx="2047875" cy="9525"/>
        </a:xfrm>
      </xdr:grpSpPr>
      <xdr:cxnSp>
        <xdr:nvCxnSpPr>
          <xdr:cNvPr id="21" name="Shape 21"/>
          <xdr:cNvCxnSpPr/>
        </xdr:nvCxnSpPr>
        <xdr:spPr>
          <a:xfrm flipH="1" rot="10800000">
            <a:off x="4322063" y="3775238"/>
            <a:ext cx="2047875" cy="9525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15</xdr:col>
      <xdr:colOff>723900</xdr:colOff>
      <xdr:row>11</xdr:row>
      <xdr:rowOff>66675</xdr:rowOff>
    </xdr:from>
    <xdr:ext cx="38100" cy="828675"/>
    <xdr:grpSp>
      <xdr:nvGrpSpPr>
        <xdr:cNvPr id="2" name="Shape 2"/>
        <xdr:cNvGrpSpPr/>
      </xdr:nvGrpSpPr>
      <xdr:grpSpPr>
        <a:xfrm>
          <a:off x="5346000" y="3365663"/>
          <a:ext cx="0" cy="828600"/>
          <a:chOff x="5346000" y="3365663"/>
          <a:chExt cx="0" cy="828600"/>
        </a:xfrm>
      </xdr:grpSpPr>
      <xdr:cxnSp>
        <xdr:nvCxnSpPr>
          <xdr:cNvPr id="26" name="Shape 26"/>
          <xdr:cNvCxnSpPr>
            <a:endCxn id="24" idx="0"/>
          </xdr:cNvCxnSpPr>
        </xdr:nvCxnSpPr>
        <xdr:spPr>
          <a:xfrm>
            <a:off x="5346000" y="3365663"/>
            <a:ext cx="0" cy="828600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16</xdr:col>
      <xdr:colOff>0</xdr:colOff>
      <xdr:row>21</xdr:row>
      <xdr:rowOff>171450</xdr:rowOff>
    </xdr:from>
    <xdr:ext cx="38100" cy="828675"/>
    <xdr:grpSp>
      <xdr:nvGrpSpPr>
        <xdr:cNvPr id="2" name="Shape 2"/>
        <xdr:cNvGrpSpPr/>
      </xdr:nvGrpSpPr>
      <xdr:grpSpPr>
        <a:xfrm>
          <a:off x="5346000" y="3365663"/>
          <a:ext cx="0" cy="828675"/>
          <a:chOff x="5346000" y="3365663"/>
          <a:chExt cx="0" cy="828675"/>
        </a:xfrm>
      </xdr:grpSpPr>
      <xdr:cxnSp>
        <xdr:nvCxnSpPr>
          <xdr:cNvPr id="23" name="Shape 23"/>
          <xdr:cNvCxnSpPr/>
        </xdr:nvCxnSpPr>
        <xdr:spPr>
          <a:xfrm>
            <a:off x="5346000" y="3365663"/>
            <a:ext cx="0" cy="828675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17</xdr:col>
      <xdr:colOff>704850</xdr:colOff>
      <xdr:row>19</xdr:row>
      <xdr:rowOff>-9525</xdr:rowOff>
    </xdr:from>
    <xdr:ext cx="2095500" cy="38100"/>
    <xdr:grpSp>
      <xdr:nvGrpSpPr>
        <xdr:cNvPr id="2" name="Shape 2"/>
        <xdr:cNvGrpSpPr/>
      </xdr:nvGrpSpPr>
      <xdr:grpSpPr>
        <a:xfrm>
          <a:off x="4298250" y="3775238"/>
          <a:ext cx="2095500" cy="9525"/>
          <a:chOff x="4298250" y="3775238"/>
          <a:chExt cx="2095500" cy="9525"/>
        </a:xfrm>
      </xdr:grpSpPr>
      <xdr:cxnSp>
        <xdr:nvCxnSpPr>
          <xdr:cNvPr id="27" name="Shape 27"/>
          <xdr:cNvCxnSpPr/>
        </xdr:nvCxnSpPr>
        <xdr:spPr>
          <a:xfrm flipH="1" rot="10800000">
            <a:off x="4298250" y="3775238"/>
            <a:ext cx="2095500" cy="9525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ica.gob.es/" TargetMode="External"/><Relationship Id="rId2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13.14"/>
    <col customWidth="1" min="4" max="4" width="12.0"/>
    <col customWidth="1" min="5" max="10" width="10.71"/>
    <col customWidth="1" min="11" max="12" width="17.29"/>
    <col customWidth="1" min="13" max="26" width="10.71"/>
  </cols>
  <sheetData>
    <row r="1" ht="14.25" customHeight="1">
      <c r="A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2" t="s">
        <v>9</v>
      </c>
      <c r="L1" s="2" t="s">
        <v>10</v>
      </c>
    </row>
    <row r="2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B3" s="5" t="s">
        <v>11</v>
      </c>
      <c r="C3" s="6">
        <v>27.0</v>
      </c>
      <c r="D3" s="5">
        <v>1435.0</v>
      </c>
      <c r="E3" s="5">
        <v>13905.3</v>
      </c>
      <c r="F3" s="5">
        <v>15987.6</v>
      </c>
      <c r="G3" s="5">
        <v>9027.7</v>
      </c>
      <c r="H3" s="5">
        <v>1383.1</v>
      </c>
      <c r="I3" s="5">
        <v>221.6</v>
      </c>
      <c r="K3" s="5">
        <f t="shared" ref="K3:K6" si="1">SUM(D3:I3)</f>
        <v>41960.3</v>
      </c>
      <c r="L3" s="7">
        <f t="shared" ref="L3:L6" si="2">K3/C3</f>
        <v>1554.085185</v>
      </c>
    </row>
    <row r="4" ht="14.25" customHeight="1">
      <c r="B4" s="5" t="s">
        <v>12</v>
      </c>
      <c r="C4" s="6">
        <v>33.0</v>
      </c>
      <c r="D4" s="5">
        <v>2186.7</v>
      </c>
      <c r="E4" s="5">
        <v>18787.5</v>
      </c>
      <c r="F4" s="8">
        <v>7281.0</v>
      </c>
      <c r="G4" s="8">
        <v>4107.4</v>
      </c>
      <c r="H4" s="5">
        <v>2139.7</v>
      </c>
      <c r="I4" s="8">
        <v>1217.0</v>
      </c>
      <c r="J4" s="8">
        <v>525.9</v>
      </c>
      <c r="K4" s="5">
        <f t="shared" si="1"/>
        <v>35719.3</v>
      </c>
      <c r="L4" s="7">
        <f t="shared" si="2"/>
        <v>1082.40303</v>
      </c>
    </row>
    <row r="5" ht="14.25" customHeight="1">
      <c r="B5" s="5" t="s">
        <v>13</v>
      </c>
      <c r="C5" s="6">
        <v>41.0</v>
      </c>
      <c r="D5" s="5">
        <v>1483.1</v>
      </c>
      <c r="E5" s="5">
        <v>24878.0</v>
      </c>
      <c r="F5" s="5">
        <v>14543.3</v>
      </c>
      <c r="G5" s="5">
        <v>2059.4</v>
      </c>
      <c r="H5" s="5">
        <v>109.8</v>
      </c>
      <c r="K5" s="5">
        <f t="shared" si="1"/>
        <v>43073.6</v>
      </c>
      <c r="L5" s="7">
        <f t="shared" si="2"/>
        <v>1050.57561</v>
      </c>
    </row>
    <row r="6" ht="14.25" customHeight="1">
      <c r="A6" s="9" t="s">
        <v>14</v>
      </c>
      <c r="B6" s="4"/>
      <c r="C6" s="9">
        <f t="shared" ref="C6:I6" si="3">SUM(C3:C5)</f>
        <v>101</v>
      </c>
      <c r="D6" s="4">
        <f t="shared" si="3"/>
        <v>5104.8</v>
      </c>
      <c r="E6" s="4">
        <f t="shared" si="3"/>
        <v>57570.8</v>
      </c>
      <c r="F6" s="4">
        <f t="shared" si="3"/>
        <v>37811.9</v>
      </c>
      <c r="G6" s="4">
        <f t="shared" si="3"/>
        <v>15194.5</v>
      </c>
      <c r="H6" s="4">
        <f t="shared" si="3"/>
        <v>3632.6</v>
      </c>
      <c r="I6" s="4">
        <f t="shared" si="3"/>
        <v>1438.6</v>
      </c>
      <c r="J6" s="4"/>
      <c r="K6" s="4">
        <f t="shared" si="1"/>
        <v>120753.2</v>
      </c>
      <c r="L6" s="10">
        <f t="shared" si="2"/>
        <v>1195.576238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9"/>
      <c r="B7" s="4"/>
      <c r="C7" s="9"/>
      <c r="D7" s="4"/>
      <c r="E7" s="4"/>
      <c r="F7" s="4"/>
      <c r="G7" s="4"/>
      <c r="H7" s="4"/>
      <c r="I7" s="4"/>
      <c r="J7" s="4"/>
      <c r="K7" s="4"/>
      <c r="L7" s="1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4" t="s">
        <v>15</v>
      </c>
      <c r="B8" s="9"/>
      <c r="C8" s="9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6"/>
      <c r="B9" s="5" t="s">
        <v>11</v>
      </c>
      <c r="D9" s="11">
        <v>15.3</v>
      </c>
      <c r="E9" s="12">
        <v>18.55</v>
      </c>
      <c r="F9" s="12">
        <v>22.23</v>
      </c>
      <c r="G9" s="12">
        <v>24.76</v>
      </c>
      <c r="H9" s="12">
        <v>26.12</v>
      </c>
      <c r="I9" s="12">
        <v>25.74</v>
      </c>
      <c r="J9" s="12">
        <v>0.0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4.25" customHeight="1">
      <c r="A10" s="6"/>
      <c r="B10" s="5" t="s">
        <v>12</v>
      </c>
      <c r="D10" s="11">
        <v>17.5</v>
      </c>
      <c r="E10" s="12">
        <v>21.66</v>
      </c>
      <c r="F10" s="12">
        <v>24.41</v>
      </c>
      <c r="G10" s="12">
        <v>26.98</v>
      </c>
      <c r="H10" s="12">
        <v>26.56</v>
      </c>
      <c r="I10" s="12">
        <v>25.46</v>
      </c>
      <c r="J10" s="12">
        <v>27.68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4.25" customHeight="1">
      <c r="A11" s="6"/>
      <c r="B11" s="5" t="s">
        <v>13</v>
      </c>
      <c r="D11" s="12">
        <v>18.14</v>
      </c>
      <c r="E11" s="12">
        <v>20.81</v>
      </c>
      <c r="F11" s="12">
        <v>23.81</v>
      </c>
      <c r="G11" s="12">
        <v>26.87</v>
      </c>
      <c r="H11" s="12">
        <v>22.56</v>
      </c>
      <c r="I11" s="12">
        <v>0.0</v>
      </c>
      <c r="J11" s="12">
        <v>0.0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4.25" customHeight="1">
      <c r="A12" s="4"/>
      <c r="B12" s="9" t="s">
        <v>14</v>
      </c>
      <c r="C12" s="9"/>
      <c r="D12" s="13">
        <v>16.69</v>
      </c>
      <c r="E12" s="13">
        <v>30.39</v>
      </c>
      <c r="F12" s="13">
        <v>23.24</v>
      </c>
      <c r="G12" s="13">
        <v>25.77</v>
      </c>
      <c r="H12" s="13">
        <v>26.28</v>
      </c>
      <c r="I12" s="13">
        <v>25.49</v>
      </c>
      <c r="J12" s="13">
        <v>27.68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4"/>
      <c r="B13" s="9"/>
      <c r="C13" s="9"/>
      <c r="D13" s="4"/>
      <c r="E13" s="4"/>
      <c r="F13" s="4"/>
      <c r="G13" s="4"/>
      <c r="H13" s="4"/>
      <c r="I13" s="4"/>
      <c r="J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1" t="s">
        <v>16</v>
      </c>
      <c r="B14" s="9"/>
      <c r="C14" s="2" t="s">
        <v>1</v>
      </c>
      <c r="D14" s="4"/>
      <c r="E14" s="4"/>
      <c r="F14" s="4"/>
      <c r="G14" s="4"/>
      <c r="H14" s="4"/>
      <c r="I14" s="4"/>
      <c r="J14" s="4"/>
      <c r="K14" s="2" t="s">
        <v>9</v>
      </c>
      <c r="L14" s="2" t="s">
        <v>10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6"/>
      <c r="B15" s="6" t="s">
        <v>11</v>
      </c>
      <c r="C15" s="6">
        <v>27.0</v>
      </c>
      <c r="D15" s="8">
        <v>227.7</v>
      </c>
      <c r="E15" s="8">
        <v>2748.5</v>
      </c>
      <c r="F15" s="8">
        <v>3682.2</v>
      </c>
      <c r="G15" s="8">
        <v>2278.2</v>
      </c>
      <c r="H15" s="8">
        <v>373.7</v>
      </c>
      <c r="I15" s="8">
        <v>68.0</v>
      </c>
      <c r="J15" s="8">
        <v>0.0</v>
      </c>
      <c r="K15" s="8">
        <f t="shared" ref="K15:K18" si="4">SUM(D15:I15)</f>
        <v>9378.3</v>
      </c>
      <c r="L15" s="7">
        <f t="shared" ref="L15:L18" si="5">K15/C15</f>
        <v>347.3444444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6"/>
      <c r="B16" s="6" t="s">
        <v>12</v>
      </c>
      <c r="C16" s="6">
        <v>33.0</v>
      </c>
      <c r="D16" s="8">
        <v>380.1</v>
      </c>
      <c r="E16" s="8">
        <v>4033.1</v>
      </c>
      <c r="F16" s="8">
        <v>1737.6</v>
      </c>
      <c r="G16" s="8">
        <v>1055.4</v>
      </c>
      <c r="H16" s="8">
        <v>536.6</v>
      </c>
      <c r="I16" s="8">
        <v>313.8</v>
      </c>
      <c r="J16" s="8">
        <v>152.4</v>
      </c>
      <c r="K16" s="8">
        <f t="shared" si="4"/>
        <v>8056.6</v>
      </c>
      <c r="L16" s="7">
        <f t="shared" si="5"/>
        <v>244.1393939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4.25" customHeight="1">
      <c r="A17" s="6"/>
      <c r="B17" s="6" t="s">
        <v>13</v>
      </c>
      <c r="C17" s="6">
        <v>41.0</v>
      </c>
      <c r="D17" s="8">
        <v>273.9</v>
      </c>
      <c r="E17" s="8">
        <v>5156.4</v>
      </c>
      <c r="F17" s="8">
        <v>3489.7</v>
      </c>
      <c r="G17" s="8">
        <v>584.1</v>
      </c>
      <c r="H17" s="8">
        <v>25.2</v>
      </c>
      <c r="I17" s="8">
        <f>I5*I11/100</f>
        <v>0</v>
      </c>
      <c r="J17" s="8">
        <v>0.0</v>
      </c>
      <c r="K17" s="8">
        <f t="shared" si="4"/>
        <v>9529.3</v>
      </c>
      <c r="L17" s="7">
        <f t="shared" si="5"/>
        <v>232.4219512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4.25" customHeight="1">
      <c r="A18" s="9" t="s">
        <v>14</v>
      </c>
      <c r="B18" s="4"/>
      <c r="C18" s="9">
        <f t="shared" ref="C18:J18" si="6">SUM(C15:C17)</f>
        <v>101</v>
      </c>
      <c r="D18" s="14">
        <f t="shared" si="6"/>
        <v>881.7</v>
      </c>
      <c r="E18" s="14">
        <f t="shared" si="6"/>
        <v>11938</v>
      </c>
      <c r="F18" s="14">
        <f t="shared" si="6"/>
        <v>8909.5</v>
      </c>
      <c r="G18" s="14">
        <f t="shared" si="6"/>
        <v>3917.7</v>
      </c>
      <c r="H18" s="14">
        <f t="shared" si="6"/>
        <v>935.5</v>
      </c>
      <c r="I18" s="14">
        <f t="shared" si="6"/>
        <v>381.8</v>
      </c>
      <c r="J18" s="14">
        <f t="shared" si="6"/>
        <v>152.4</v>
      </c>
      <c r="K18" s="14">
        <f t="shared" si="4"/>
        <v>26964.2</v>
      </c>
      <c r="L18" s="10">
        <f t="shared" si="5"/>
        <v>266.9722772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6"/>
      <c r="B19" s="15"/>
      <c r="C19" s="15"/>
      <c r="D19" s="8"/>
      <c r="E19" s="8"/>
      <c r="F19" s="8"/>
      <c r="G19" s="8"/>
      <c r="H19" s="8"/>
      <c r="I19" s="8"/>
      <c r="J19" s="8"/>
      <c r="K19" s="8"/>
      <c r="L19" s="7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4.25" customHeight="1">
      <c r="A20" s="4" t="s">
        <v>17</v>
      </c>
      <c r="B20" s="15"/>
      <c r="C20" s="2" t="s">
        <v>1</v>
      </c>
      <c r="D20" s="4"/>
      <c r="E20" s="4"/>
      <c r="F20" s="4"/>
      <c r="G20" s="4"/>
      <c r="H20" s="4"/>
      <c r="I20" s="4"/>
      <c r="J20" s="4"/>
      <c r="K20" s="2" t="s">
        <v>9</v>
      </c>
      <c r="L20" s="2" t="s">
        <v>10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4.25" customHeight="1">
      <c r="A21" s="6"/>
      <c r="B21" s="6" t="s">
        <v>11</v>
      </c>
      <c r="C21" s="6">
        <v>27.0</v>
      </c>
      <c r="D21" s="8">
        <f t="shared" ref="D21:J21" si="7">D3-D15</f>
        <v>1207.3</v>
      </c>
      <c r="E21" s="8">
        <f t="shared" si="7"/>
        <v>11156.8</v>
      </c>
      <c r="F21" s="8">
        <f t="shared" si="7"/>
        <v>12305.4</v>
      </c>
      <c r="G21" s="8">
        <f t="shared" si="7"/>
        <v>6749.5</v>
      </c>
      <c r="H21" s="8">
        <f t="shared" si="7"/>
        <v>1009.4</v>
      </c>
      <c r="I21" s="8">
        <f t="shared" si="7"/>
        <v>153.6</v>
      </c>
      <c r="J21" s="8">
        <f t="shared" si="7"/>
        <v>0</v>
      </c>
      <c r="K21" s="8">
        <f t="shared" ref="K21:K24" si="9">SUM(D21:I21)</f>
        <v>32582</v>
      </c>
      <c r="L21" s="7">
        <f t="shared" ref="L21:L24" si="10">K21/C21</f>
        <v>1206.740741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4.25" customHeight="1">
      <c r="A22" s="6"/>
      <c r="B22" s="6" t="s">
        <v>12</v>
      </c>
      <c r="C22" s="6">
        <v>33.0</v>
      </c>
      <c r="D22" s="8">
        <f t="shared" ref="D22:J22" si="8">D4-D16</f>
        <v>1806.6</v>
      </c>
      <c r="E22" s="8">
        <f t="shared" si="8"/>
        <v>14754.4</v>
      </c>
      <c r="F22" s="8">
        <f t="shared" si="8"/>
        <v>5543.4</v>
      </c>
      <c r="G22" s="8">
        <f t="shared" si="8"/>
        <v>3052</v>
      </c>
      <c r="H22" s="8">
        <f t="shared" si="8"/>
        <v>1603.1</v>
      </c>
      <c r="I22" s="8">
        <f t="shared" si="8"/>
        <v>903.2</v>
      </c>
      <c r="J22" s="8">
        <f t="shared" si="8"/>
        <v>373.5</v>
      </c>
      <c r="K22" s="8">
        <f t="shared" si="9"/>
        <v>27662.7</v>
      </c>
      <c r="L22" s="7">
        <f t="shared" si="10"/>
        <v>838.2636364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4.25" customHeight="1">
      <c r="A23" s="6"/>
      <c r="B23" s="6" t="s">
        <v>13</v>
      </c>
      <c r="C23" s="6">
        <v>41.0</v>
      </c>
      <c r="D23" s="8">
        <f t="shared" ref="D23:J23" si="11">D5-D17</f>
        <v>1209.2</v>
      </c>
      <c r="E23" s="8">
        <f t="shared" si="11"/>
        <v>19721.6</v>
      </c>
      <c r="F23" s="8">
        <f t="shared" si="11"/>
        <v>11053.6</v>
      </c>
      <c r="G23" s="8">
        <f t="shared" si="11"/>
        <v>1475.3</v>
      </c>
      <c r="H23" s="8">
        <f t="shared" si="11"/>
        <v>84.6</v>
      </c>
      <c r="I23" s="8">
        <f t="shared" si="11"/>
        <v>0</v>
      </c>
      <c r="J23" s="8">
        <f t="shared" si="11"/>
        <v>0</v>
      </c>
      <c r="K23" s="8">
        <f t="shared" si="9"/>
        <v>33544.3</v>
      </c>
      <c r="L23" s="7">
        <f t="shared" si="10"/>
        <v>818.1536585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4.25" customHeight="1">
      <c r="A24" s="9" t="s">
        <v>14</v>
      </c>
      <c r="B24" s="4"/>
      <c r="C24" s="9">
        <f>SUM(C21:C23)</f>
        <v>101</v>
      </c>
      <c r="D24" s="14">
        <f t="shared" ref="D24:I24" si="12">D6-D18</f>
        <v>4223.1</v>
      </c>
      <c r="E24" s="14">
        <f t="shared" si="12"/>
        <v>45632.8</v>
      </c>
      <c r="F24" s="14">
        <f t="shared" si="12"/>
        <v>28902.4</v>
      </c>
      <c r="G24" s="14">
        <f t="shared" si="12"/>
        <v>11276.8</v>
      </c>
      <c r="H24" s="14">
        <f t="shared" si="12"/>
        <v>2697.1</v>
      </c>
      <c r="I24" s="14">
        <f t="shared" si="12"/>
        <v>1056.8</v>
      </c>
      <c r="J24" s="14"/>
      <c r="K24" s="14">
        <f t="shared" si="9"/>
        <v>93789</v>
      </c>
      <c r="L24" s="10">
        <f t="shared" si="10"/>
        <v>928.6039604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/>
      <c r="B25" s="15"/>
      <c r="C25" s="15"/>
      <c r="D25" s="14"/>
      <c r="E25" s="14"/>
      <c r="F25" s="14"/>
      <c r="G25" s="14"/>
      <c r="H25" s="14"/>
      <c r="I25" s="14"/>
      <c r="J25" s="14"/>
      <c r="K25" s="8"/>
      <c r="L25" s="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D26" s="16"/>
      <c r="E26" s="16"/>
      <c r="F26" s="16"/>
      <c r="G26" s="16"/>
      <c r="H26" s="16"/>
      <c r="I26" s="16"/>
      <c r="J26" s="16"/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13.14"/>
    <col customWidth="1" min="4" max="4" width="4.0"/>
    <col customWidth="1" min="5" max="5" width="12.0"/>
    <col customWidth="1" min="6" max="10" width="10.71"/>
    <col customWidth="1" min="11" max="12" width="17.29"/>
    <col customWidth="1" min="13" max="26" width="10.71"/>
  </cols>
  <sheetData>
    <row r="1" ht="14.25" customHeight="1">
      <c r="A1" s="1" t="s">
        <v>0</v>
      </c>
      <c r="C1" s="2" t="s">
        <v>1</v>
      </c>
      <c r="D1" s="2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2" t="s">
        <v>9</v>
      </c>
      <c r="L1" s="2" t="s">
        <v>10</v>
      </c>
    </row>
    <row r="2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B3" s="5" t="s">
        <v>11</v>
      </c>
      <c r="C3" s="3">
        <v>27.0</v>
      </c>
      <c r="D3" s="6"/>
      <c r="E3" s="5">
        <v>1435.0</v>
      </c>
      <c r="F3" s="5">
        <v>13905.3</v>
      </c>
      <c r="G3" s="5">
        <v>15987.6</v>
      </c>
      <c r="H3" s="5">
        <v>9027.7</v>
      </c>
      <c r="I3" s="5">
        <v>1383.1</v>
      </c>
      <c r="J3" s="5">
        <v>221.6</v>
      </c>
      <c r="K3" s="5">
        <f t="shared" ref="K3:K6" si="1">SUM(E3:J3)</f>
        <v>41960.3</v>
      </c>
      <c r="L3" s="7">
        <f t="shared" ref="L3:L6" si="2">K3/C3</f>
        <v>1554.085185</v>
      </c>
    </row>
    <row r="4" ht="14.25" customHeight="1">
      <c r="B4" s="5" t="s">
        <v>12</v>
      </c>
      <c r="C4" s="3">
        <v>33.0</v>
      </c>
      <c r="D4" s="6"/>
      <c r="E4" s="5">
        <v>2186.7</v>
      </c>
      <c r="F4" s="5">
        <v>18787.5</v>
      </c>
      <c r="G4" s="8">
        <v>7281.0</v>
      </c>
      <c r="H4" s="8">
        <v>4107.4</v>
      </c>
      <c r="I4" s="5">
        <v>2139.7</v>
      </c>
      <c r="J4" s="8">
        <v>1217.0</v>
      </c>
      <c r="K4" s="5">
        <f t="shared" si="1"/>
        <v>35719.3</v>
      </c>
      <c r="L4" s="7">
        <f t="shared" si="2"/>
        <v>1082.40303</v>
      </c>
    </row>
    <row r="5" ht="14.25" customHeight="1">
      <c r="B5" s="5" t="s">
        <v>13</v>
      </c>
      <c r="C5" s="3">
        <v>41.0</v>
      </c>
      <c r="D5" s="6"/>
      <c r="E5" s="5">
        <v>1483.1</v>
      </c>
      <c r="F5" s="5">
        <v>24878.0</v>
      </c>
      <c r="G5" s="5">
        <v>14543.3</v>
      </c>
      <c r="H5" s="5">
        <v>2059.4</v>
      </c>
      <c r="I5" s="5">
        <v>109.8</v>
      </c>
      <c r="K5" s="5">
        <f t="shared" si="1"/>
        <v>43073.6</v>
      </c>
      <c r="L5" s="7">
        <f t="shared" si="2"/>
        <v>1050.57561</v>
      </c>
    </row>
    <row r="6" ht="14.25" customHeight="1">
      <c r="A6" s="9" t="s">
        <v>14</v>
      </c>
      <c r="B6" s="4"/>
      <c r="C6" s="17">
        <f>SUM(C3:C5)</f>
        <v>101</v>
      </c>
      <c r="D6" s="9"/>
      <c r="E6" s="4">
        <f t="shared" ref="E6:J6" si="3">SUM(E3:E5)</f>
        <v>5104.8</v>
      </c>
      <c r="F6" s="4">
        <f t="shared" si="3"/>
        <v>57570.8</v>
      </c>
      <c r="G6" s="4">
        <f t="shared" si="3"/>
        <v>37811.9</v>
      </c>
      <c r="H6" s="4">
        <f t="shared" si="3"/>
        <v>15194.5</v>
      </c>
      <c r="I6" s="4">
        <f t="shared" si="3"/>
        <v>3632.6</v>
      </c>
      <c r="J6" s="4">
        <f t="shared" si="3"/>
        <v>1438.6</v>
      </c>
      <c r="K6" s="4">
        <f t="shared" si="1"/>
        <v>120753.2</v>
      </c>
      <c r="L6" s="10">
        <f t="shared" si="2"/>
        <v>1195.576238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9"/>
      <c r="B7" s="4"/>
      <c r="C7" s="9"/>
      <c r="D7" s="9"/>
      <c r="E7" s="4"/>
      <c r="F7" s="4"/>
      <c r="G7" s="4"/>
      <c r="H7" s="4"/>
      <c r="I7" s="4"/>
      <c r="J7" s="4"/>
      <c r="K7" s="4"/>
      <c r="L7" s="1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4" t="s">
        <v>15</v>
      </c>
      <c r="B8" s="9"/>
      <c r="C8" s="9"/>
      <c r="D8" s="9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6"/>
      <c r="B9" s="5" t="s">
        <v>11</v>
      </c>
      <c r="E9" s="11">
        <v>15.3</v>
      </c>
      <c r="F9" s="12">
        <v>18.55</v>
      </c>
      <c r="G9" s="12">
        <v>22.23</v>
      </c>
      <c r="H9" s="12">
        <v>24.76</v>
      </c>
      <c r="I9" s="12">
        <v>26.12</v>
      </c>
      <c r="J9" s="12">
        <v>25.74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4.25" customHeight="1">
      <c r="A10" s="6"/>
      <c r="B10" s="5" t="s">
        <v>12</v>
      </c>
      <c r="E10" s="11">
        <v>17.5</v>
      </c>
      <c r="F10" s="12">
        <v>21.66</v>
      </c>
      <c r="G10" s="12">
        <v>24.41</v>
      </c>
      <c r="H10" s="12">
        <v>26.98</v>
      </c>
      <c r="I10" s="12">
        <v>26.56</v>
      </c>
      <c r="J10" s="12">
        <v>25.46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4.25" customHeight="1">
      <c r="A11" s="6"/>
      <c r="B11" s="5" t="s">
        <v>13</v>
      </c>
      <c r="E11" s="12">
        <v>18.14</v>
      </c>
      <c r="F11" s="12">
        <v>20.81</v>
      </c>
      <c r="G11" s="12">
        <v>23.81</v>
      </c>
      <c r="H11" s="12">
        <v>26.87</v>
      </c>
      <c r="I11" s="12">
        <v>22.56</v>
      </c>
      <c r="J11" s="12">
        <v>0.0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4.25" customHeight="1">
      <c r="A12" s="4"/>
      <c r="B12" s="9" t="s">
        <v>14</v>
      </c>
      <c r="C12" s="9"/>
      <c r="D12" s="9"/>
      <c r="E12" s="13">
        <v>16.69</v>
      </c>
      <c r="F12" s="13">
        <v>30.39</v>
      </c>
      <c r="G12" s="13">
        <v>23.24</v>
      </c>
      <c r="H12" s="13">
        <v>25.77</v>
      </c>
      <c r="I12" s="13">
        <v>26.28</v>
      </c>
      <c r="J12" s="13">
        <v>25.49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4"/>
      <c r="B13" s="9"/>
      <c r="C13" s="9"/>
      <c r="D13" s="9"/>
      <c r="E13" s="4"/>
      <c r="F13" s="4"/>
      <c r="G13" s="4"/>
      <c r="H13" s="4"/>
      <c r="I13" s="4"/>
      <c r="J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1" t="s">
        <v>16</v>
      </c>
      <c r="B14" s="9"/>
      <c r="C14" s="2" t="s">
        <v>1</v>
      </c>
      <c r="D14" s="2"/>
      <c r="E14" s="4"/>
      <c r="F14" s="4"/>
      <c r="G14" s="4"/>
      <c r="H14" s="4"/>
      <c r="I14" s="4"/>
      <c r="J14" s="4"/>
      <c r="K14" s="2" t="s">
        <v>9</v>
      </c>
      <c r="L14" s="2" t="s">
        <v>10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6"/>
      <c r="B15" s="6" t="s">
        <v>11</v>
      </c>
      <c r="C15" s="6">
        <v>27.0</v>
      </c>
      <c r="D15" s="6"/>
      <c r="E15" s="8">
        <v>227.7</v>
      </c>
      <c r="F15" s="8">
        <v>2748.5</v>
      </c>
      <c r="G15" s="8">
        <v>3682.2</v>
      </c>
      <c r="H15" s="8">
        <v>2278.2</v>
      </c>
      <c r="I15" s="8">
        <v>373.7</v>
      </c>
      <c r="J15" s="8">
        <v>68.0</v>
      </c>
      <c r="K15" s="8">
        <f t="shared" ref="K15:K18" si="4">SUM(E15:J15)</f>
        <v>9378.3</v>
      </c>
      <c r="L15" s="7">
        <f t="shared" ref="L15:L18" si="5">K15/C15</f>
        <v>347.3444444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6"/>
      <c r="B16" s="6" t="s">
        <v>12</v>
      </c>
      <c r="C16" s="6">
        <v>33.0</v>
      </c>
      <c r="D16" s="6"/>
      <c r="E16" s="8">
        <v>380.1</v>
      </c>
      <c r="F16" s="8">
        <v>4033.1</v>
      </c>
      <c r="G16" s="8">
        <v>1737.6</v>
      </c>
      <c r="H16" s="8">
        <v>1055.4</v>
      </c>
      <c r="I16" s="8">
        <v>536.6</v>
      </c>
      <c r="J16" s="8">
        <v>313.8</v>
      </c>
      <c r="K16" s="8">
        <f t="shared" si="4"/>
        <v>8056.6</v>
      </c>
      <c r="L16" s="7">
        <f t="shared" si="5"/>
        <v>244.1393939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4.25" customHeight="1">
      <c r="A17" s="6"/>
      <c r="B17" s="6" t="s">
        <v>13</v>
      </c>
      <c r="C17" s="6">
        <v>41.0</v>
      </c>
      <c r="D17" s="6"/>
      <c r="E17" s="8">
        <v>273.9</v>
      </c>
      <c r="F17" s="8">
        <v>5156.4</v>
      </c>
      <c r="G17" s="8">
        <v>3489.7</v>
      </c>
      <c r="H17" s="8">
        <v>584.1</v>
      </c>
      <c r="I17" s="8">
        <v>25.2</v>
      </c>
      <c r="J17" s="8">
        <f>J5*J11/100</f>
        <v>0</v>
      </c>
      <c r="K17" s="8">
        <f t="shared" si="4"/>
        <v>9529.3</v>
      </c>
      <c r="L17" s="7">
        <f t="shared" si="5"/>
        <v>232.4219512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4.25" customHeight="1">
      <c r="A18" s="9" t="s">
        <v>14</v>
      </c>
      <c r="B18" s="4"/>
      <c r="C18" s="9">
        <f>SUM(C15:C17)</f>
        <v>101</v>
      </c>
      <c r="D18" s="9"/>
      <c r="E18" s="14">
        <f t="shared" ref="E18:J18" si="6">SUM(E15:E17)</f>
        <v>881.7</v>
      </c>
      <c r="F18" s="14">
        <f t="shared" si="6"/>
        <v>11938</v>
      </c>
      <c r="G18" s="14">
        <f t="shared" si="6"/>
        <v>8909.5</v>
      </c>
      <c r="H18" s="14">
        <f t="shared" si="6"/>
        <v>3917.7</v>
      </c>
      <c r="I18" s="14">
        <f t="shared" si="6"/>
        <v>935.5</v>
      </c>
      <c r="J18" s="14">
        <f t="shared" si="6"/>
        <v>381.8</v>
      </c>
      <c r="K18" s="14">
        <f t="shared" si="4"/>
        <v>26964.2</v>
      </c>
      <c r="L18" s="10">
        <f t="shared" si="5"/>
        <v>266.9722772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6"/>
      <c r="B19" s="15"/>
      <c r="C19" s="15"/>
      <c r="D19" s="15"/>
      <c r="E19" s="8"/>
      <c r="F19" s="8"/>
      <c r="G19" s="8"/>
      <c r="H19" s="8"/>
      <c r="I19" s="8"/>
      <c r="J19" s="8"/>
      <c r="K19" s="8"/>
      <c r="L19" s="7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4.25" customHeight="1">
      <c r="A20" s="4" t="s">
        <v>17</v>
      </c>
      <c r="B20" s="15"/>
      <c r="C20" s="2" t="s">
        <v>1</v>
      </c>
      <c r="D20" s="2"/>
      <c r="E20" s="4"/>
      <c r="F20" s="4"/>
      <c r="G20" s="4"/>
      <c r="H20" s="4"/>
      <c r="I20" s="4"/>
      <c r="J20" s="4"/>
      <c r="K20" s="2" t="s">
        <v>9</v>
      </c>
      <c r="L20" s="2" t="s">
        <v>10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4.25" customHeight="1">
      <c r="A21" s="6"/>
      <c r="B21" s="6" t="s">
        <v>11</v>
      </c>
      <c r="C21" s="6">
        <v>27.0</v>
      </c>
      <c r="D21" s="6"/>
      <c r="E21" s="8">
        <f t="shared" ref="E21:J21" si="7">E3-E15</f>
        <v>1207.3</v>
      </c>
      <c r="F21" s="8">
        <f t="shared" si="7"/>
        <v>11156.8</v>
      </c>
      <c r="G21" s="8">
        <f t="shared" si="7"/>
        <v>12305.4</v>
      </c>
      <c r="H21" s="8">
        <f t="shared" si="7"/>
        <v>6749.5</v>
      </c>
      <c r="I21" s="8">
        <f t="shared" si="7"/>
        <v>1009.4</v>
      </c>
      <c r="J21" s="8">
        <f t="shared" si="7"/>
        <v>153.6</v>
      </c>
      <c r="K21" s="8">
        <f t="shared" ref="K21:K24" si="9">SUM(E21:J21)</f>
        <v>32582</v>
      </c>
      <c r="L21" s="7">
        <f t="shared" ref="L21:L24" si="10">K21/C21</f>
        <v>1206.740741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4.25" customHeight="1">
      <c r="A22" s="6"/>
      <c r="B22" s="6" t="s">
        <v>12</v>
      </c>
      <c r="C22" s="6">
        <v>33.0</v>
      </c>
      <c r="D22" s="6"/>
      <c r="E22" s="8">
        <f t="shared" ref="E22:J22" si="8">E4-E16</f>
        <v>1806.6</v>
      </c>
      <c r="F22" s="8">
        <f t="shared" si="8"/>
        <v>14754.4</v>
      </c>
      <c r="G22" s="8">
        <f t="shared" si="8"/>
        <v>5543.4</v>
      </c>
      <c r="H22" s="8">
        <f t="shared" si="8"/>
        <v>3052</v>
      </c>
      <c r="I22" s="8">
        <f t="shared" si="8"/>
        <v>1603.1</v>
      </c>
      <c r="J22" s="8">
        <f t="shared" si="8"/>
        <v>903.2</v>
      </c>
      <c r="K22" s="8">
        <f t="shared" si="9"/>
        <v>27662.7</v>
      </c>
      <c r="L22" s="7">
        <f t="shared" si="10"/>
        <v>838.2636364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4.25" customHeight="1">
      <c r="A23" s="6"/>
      <c r="B23" s="6" t="s">
        <v>13</v>
      </c>
      <c r="C23" s="6">
        <v>41.0</v>
      </c>
      <c r="D23" s="6"/>
      <c r="E23" s="8">
        <f t="shared" ref="E23:J23" si="11">E5-E17</f>
        <v>1209.2</v>
      </c>
      <c r="F23" s="8">
        <f t="shared" si="11"/>
        <v>19721.6</v>
      </c>
      <c r="G23" s="8">
        <f t="shared" si="11"/>
        <v>11053.6</v>
      </c>
      <c r="H23" s="8">
        <f t="shared" si="11"/>
        <v>1475.3</v>
      </c>
      <c r="I23" s="8">
        <f t="shared" si="11"/>
        <v>84.6</v>
      </c>
      <c r="J23" s="8">
        <f t="shared" si="11"/>
        <v>0</v>
      </c>
      <c r="K23" s="8">
        <f t="shared" si="9"/>
        <v>33544.3</v>
      </c>
      <c r="L23" s="7">
        <f t="shared" si="10"/>
        <v>818.1536585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4.25" customHeight="1">
      <c r="A24" s="9" t="s">
        <v>14</v>
      </c>
      <c r="B24" s="4"/>
      <c r="C24" s="9">
        <f>SUM(C21:C23)</f>
        <v>101</v>
      </c>
      <c r="D24" s="9"/>
      <c r="E24" s="14">
        <f t="shared" ref="E24:J24" si="12">E6-E18</f>
        <v>4223.1</v>
      </c>
      <c r="F24" s="14">
        <f t="shared" si="12"/>
        <v>45632.8</v>
      </c>
      <c r="G24" s="14">
        <f t="shared" si="12"/>
        <v>28902.4</v>
      </c>
      <c r="H24" s="14">
        <f t="shared" si="12"/>
        <v>11276.8</v>
      </c>
      <c r="I24" s="14">
        <f t="shared" si="12"/>
        <v>2697.1</v>
      </c>
      <c r="J24" s="14">
        <f t="shared" si="12"/>
        <v>1056.8</v>
      </c>
      <c r="K24" s="14">
        <f t="shared" si="9"/>
        <v>93789</v>
      </c>
      <c r="L24" s="10">
        <f t="shared" si="10"/>
        <v>928.6039604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/>
      <c r="B25" s="15"/>
      <c r="C25" s="15"/>
      <c r="D25" s="15"/>
      <c r="E25" s="14"/>
      <c r="F25" s="14"/>
      <c r="G25" s="14"/>
      <c r="H25" s="14"/>
      <c r="I25" s="14"/>
      <c r="J25" s="14"/>
      <c r="K25" s="8"/>
      <c r="L25" s="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E26" s="16"/>
      <c r="F26" s="16"/>
      <c r="G26" s="16"/>
      <c r="H26" s="16"/>
      <c r="I26" s="16"/>
      <c r="J26" s="16"/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13.14"/>
    <col customWidth="1" min="4" max="10" width="10.71"/>
    <col customWidth="1" min="11" max="12" width="17.29"/>
    <col customWidth="1" min="13" max="26" width="10.71"/>
  </cols>
  <sheetData>
    <row r="1" ht="14.25" customHeight="1">
      <c r="A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2" t="s">
        <v>9</v>
      </c>
      <c r="L1" s="2" t="s">
        <v>10</v>
      </c>
    </row>
    <row r="2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B3" s="5" t="s">
        <v>11</v>
      </c>
      <c r="C3" s="6">
        <v>27.0</v>
      </c>
      <c r="D3" s="5">
        <v>378.9</v>
      </c>
      <c r="E3" s="5">
        <v>6561.5</v>
      </c>
      <c r="F3" s="5">
        <v>16201.6</v>
      </c>
      <c r="G3" s="5">
        <v>9923.9</v>
      </c>
      <c r="H3" s="5">
        <v>2194.5</v>
      </c>
      <c r="I3" s="5">
        <v>152.6</v>
      </c>
      <c r="K3" s="5">
        <f t="shared" ref="K3:K6" si="1">SUM(D3:I3)</f>
        <v>35413</v>
      </c>
      <c r="L3" s="7">
        <f t="shared" ref="L3:L6" si="2">K3/C3</f>
        <v>1311.592593</v>
      </c>
    </row>
    <row r="4" ht="14.25" customHeight="1">
      <c r="B4" s="5" t="s">
        <v>12</v>
      </c>
      <c r="C4" s="6">
        <v>35.0</v>
      </c>
      <c r="D4" s="5">
        <v>279.9</v>
      </c>
      <c r="E4" s="5">
        <v>3324.6</v>
      </c>
      <c r="F4" s="8">
        <v>2213.3</v>
      </c>
      <c r="G4" s="8">
        <v>574.9</v>
      </c>
      <c r="H4" s="5">
        <v>215.8</v>
      </c>
      <c r="I4" s="8">
        <v>11.1</v>
      </c>
      <c r="J4" s="8"/>
      <c r="K4" s="5">
        <f t="shared" si="1"/>
        <v>6619.6</v>
      </c>
      <c r="L4" s="7">
        <f t="shared" si="2"/>
        <v>189.1314286</v>
      </c>
    </row>
    <row r="5" ht="14.25" customHeight="1">
      <c r="B5" s="5" t="s">
        <v>13</v>
      </c>
      <c r="C5" s="6">
        <v>41.0</v>
      </c>
      <c r="D5" s="5">
        <v>453.1</v>
      </c>
      <c r="E5" s="7">
        <v>10759.0</v>
      </c>
      <c r="F5" s="5">
        <v>19400.4</v>
      </c>
      <c r="G5" s="5">
        <v>3202.9</v>
      </c>
      <c r="H5" s="5">
        <v>48.8</v>
      </c>
      <c r="K5" s="5">
        <f t="shared" si="1"/>
        <v>33864.2</v>
      </c>
      <c r="L5" s="7">
        <f t="shared" si="2"/>
        <v>825.9560976</v>
      </c>
    </row>
    <row r="6" ht="14.25" customHeight="1">
      <c r="A6" s="9" t="s">
        <v>14</v>
      </c>
      <c r="B6" s="4"/>
      <c r="C6" s="9">
        <f t="shared" ref="C6:I6" si="3">SUM(C3:C5)</f>
        <v>103</v>
      </c>
      <c r="D6" s="4">
        <f t="shared" si="3"/>
        <v>1111.9</v>
      </c>
      <c r="E6" s="4">
        <f t="shared" si="3"/>
        <v>20645.1</v>
      </c>
      <c r="F6" s="4">
        <f t="shared" si="3"/>
        <v>37815.3</v>
      </c>
      <c r="G6" s="4">
        <f t="shared" si="3"/>
        <v>13701.7</v>
      </c>
      <c r="H6" s="4">
        <f t="shared" si="3"/>
        <v>2459.1</v>
      </c>
      <c r="I6" s="4">
        <f t="shared" si="3"/>
        <v>163.7</v>
      </c>
      <c r="J6" s="4"/>
      <c r="K6" s="4">
        <f t="shared" si="1"/>
        <v>75896.8</v>
      </c>
      <c r="L6" s="10">
        <f t="shared" si="2"/>
        <v>736.8621359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9"/>
      <c r="B7" s="4"/>
      <c r="C7" s="9"/>
      <c r="D7" s="4"/>
      <c r="E7" s="4"/>
      <c r="F7" s="4"/>
      <c r="G7" s="4"/>
      <c r="H7" s="4"/>
      <c r="I7" s="4"/>
      <c r="J7" s="4"/>
      <c r="K7" s="4"/>
      <c r="L7" s="1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4" t="s">
        <v>15</v>
      </c>
      <c r="B8" s="9"/>
      <c r="C8" s="9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6"/>
      <c r="B9" s="5" t="s">
        <v>11</v>
      </c>
      <c r="D9" s="6">
        <v>14.78</v>
      </c>
      <c r="E9" s="6">
        <v>17.74</v>
      </c>
      <c r="F9" s="6">
        <v>20.14</v>
      </c>
      <c r="G9" s="6">
        <v>21.97</v>
      </c>
      <c r="H9" s="6">
        <v>22.77</v>
      </c>
      <c r="I9" s="6">
        <v>26.5</v>
      </c>
      <c r="J9" s="6"/>
      <c r="K9" s="6">
        <v>20.06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4.25" customHeight="1">
      <c r="A10" s="6"/>
      <c r="B10" s="5" t="s">
        <v>12</v>
      </c>
      <c r="D10" s="6">
        <v>12.82</v>
      </c>
      <c r="E10" s="6">
        <v>14.14</v>
      </c>
      <c r="F10" s="6">
        <v>17.78</v>
      </c>
      <c r="G10" s="6">
        <v>22.86</v>
      </c>
      <c r="H10" s="6">
        <v>25.65</v>
      </c>
      <c r="I10" s="6">
        <v>27.37</v>
      </c>
      <c r="J10" s="6"/>
      <c r="K10" s="6">
        <v>16.54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4.25" customHeight="1">
      <c r="A11" s="6"/>
      <c r="B11" s="5" t="s">
        <v>13</v>
      </c>
      <c r="D11" s="6">
        <v>13.57</v>
      </c>
      <c r="E11" s="6">
        <v>15.98</v>
      </c>
      <c r="F11" s="6">
        <v>18.3</v>
      </c>
      <c r="G11" s="6">
        <v>21.04</v>
      </c>
      <c r="H11" s="6">
        <v>31.07</v>
      </c>
      <c r="I11" s="6"/>
      <c r="J11" s="6">
        <v>27.32</v>
      </c>
      <c r="K11" s="6">
        <v>17.78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4.25" customHeight="1">
      <c r="A12" s="4"/>
      <c r="B12" s="9" t="s">
        <v>14</v>
      </c>
      <c r="C12" s="9"/>
      <c r="D12" s="4">
        <v>13.99</v>
      </c>
      <c r="E12" s="4">
        <v>16.37</v>
      </c>
      <c r="F12" s="4">
        <v>19.09</v>
      </c>
      <c r="G12" s="4">
        <v>21.82</v>
      </c>
      <c r="H12" s="4">
        <v>23.3</v>
      </c>
      <c r="I12" s="4">
        <v>26.56</v>
      </c>
      <c r="J12" s="4">
        <v>27.32</v>
      </c>
      <c r="K12" s="4">
        <v>18.78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4"/>
      <c r="B13" s="9"/>
      <c r="C13" s="9"/>
      <c r="D13" s="4"/>
      <c r="E13" s="4"/>
      <c r="F13" s="4"/>
      <c r="G13" s="4"/>
      <c r="H13" s="4"/>
      <c r="I13" s="4"/>
      <c r="J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1" t="s">
        <v>16</v>
      </c>
      <c r="B14" s="9"/>
      <c r="C14" s="2" t="s">
        <v>1</v>
      </c>
      <c r="D14" s="4"/>
      <c r="E14" s="4"/>
      <c r="F14" s="4"/>
      <c r="G14" s="4"/>
      <c r="H14" s="4"/>
      <c r="I14" s="4"/>
      <c r="J14" s="4"/>
      <c r="K14" s="2" t="s">
        <v>9</v>
      </c>
      <c r="L14" s="2" t="s">
        <v>10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6"/>
      <c r="B15" s="6" t="s">
        <v>11</v>
      </c>
      <c r="C15" s="6">
        <v>27.0</v>
      </c>
      <c r="D15" s="8">
        <v>54.7</v>
      </c>
      <c r="E15" s="8">
        <v>1199.2</v>
      </c>
      <c r="F15" s="8">
        <v>3287.8</v>
      </c>
      <c r="G15" s="8">
        <v>2193.6</v>
      </c>
      <c r="H15" s="8">
        <v>500.0</v>
      </c>
      <c r="I15" s="8">
        <v>41.0</v>
      </c>
      <c r="J15" s="8">
        <v>0.0</v>
      </c>
      <c r="K15" s="8">
        <f t="shared" ref="K15:K18" si="4">SUM(D15:I15)</f>
        <v>7276.3</v>
      </c>
      <c r="L15" s="7">
        <f t="shared" ref="L15:L18" si="5">K15/C15</f>
        <v>269.4925926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6"/>
      <c r="B16" s="6" t="s">
        <v>12</v>
      </c>
      <c r="C16" s="6">
        <v>35.0</v>
      </c>
      <c r="D16" s="8">
        <v>37.1</v>
      </c>
      <c r="E16" s="8">
        <v>480.0</v>
      </c>
      <c r="F16" s="8">
        <v>412.2</v>
      </c>
      <c r="G16" s="8">
        <v>134.9</v>
      </c>
      <c r="H16" s="8">
        <v>56.0</v>
      </c>
      <c r="I16" s="8">
        <v>3.2</v>
      </c>
      <c r="J16" s="8">
        <v>0.0</v>
      </c>
      <c r="K16" s="8">
        <f t="shared" si="4"/>
        <v>1123.4</v>
      </c>
      <c r="L16" s="7">
        <f t="shared" si="5"/>
        <v>32.09714286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4.25" customHeight="1">
      <c r="A17" s="6"/>
      <c r="B17" s="6" t="s">
        <v>13</v>
      </c>
      <c r="C17" s="6">
        <v>41.0</v>
      </c>
      <c r="D17" s="8">
        <v>62.0</v>
      </c>
      <c r="E17" s="8">
        <v>1723.6</v>
      </c>
      <c r="F17" s="8">
        <v>3560.5</v>
      </c>
      <c r="G17" s="8">
        <v>678.6</v>
      </c>
      <c r="H17" s="8">
        <v>16.4</v>
      </c>
      <c r="I17" s="8">
        <f>I5*I11/100</f>
        <v>0</v>
      </c>
      <c r="J17" s="8">
        <v>0.0</v>
      </c>
      <c r="K17" s="8">
        <f t="shared" si="4"/>
        <v>6041.1</v>
      </c>
      <c r="L17" s="7">
        <f t="shared" si="5"/>
        <v>147.3439024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4.25" customHeight="1">
      <c r="A18" s="9" t="s">
        <v>14</v>
      </c>
      <c r="B18" s="4"/>
      <c r="C18" s="9">
        <f t="shared" ref="C18:J18" si="6">SUM(C15:C17)</f>
        <v>103</v>
      </c>
      <c r="D18" s="14">
        <f t="shared" si="6"/>
        <v>153.8</v>
      </c>
      <c r="E18" s="14">
        <f t="shared" si="6"/>
        <v>3402.8</v>
      </c>
      <c r="F18" s="14">
        <f t="shared" si="6"/>
        <v>7260.5</v>
      </c>
      <c r="G18" s="14">
        <f t="shared" si="6"/>
        <v>3007.1</v>
      </c>
      <c r="H18" s="14">
        <f t="shared" si="6"/>
        <v>572.4</v>
      </c>
      <c r="I18" s="14">
        <f t="shared" si="6"/>
        <v>44.2</v>
      </c>
      <c r="J18" s="14">
        <f t="shared" si="6"/>
        <v>0</v>
      </c>
      <c r="K18" s="14">
        <f t="shared" si="4"/>
        <v>14440.8</v>
      </c>
      <c r="L18" s="10">
        <f t="shared" si="5"/>
        <v>140.2019417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6"/>
      <c r="B19" s="15"/>
      <c r="C19" s="15"/>
      <c r="D19" s="8"/>
      <c r="E19" s="8"/>
      <c r="F19" s="8"/>
      <c r="G19" s="8"/>
      <c r="H19" s="8"/>
      <c r="I19" s="8"/>
      <c r="J19" s="8"/>
      <c r="K19" s="8"/>
      <c r="L19" s="7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4.25" customHeight="1">
      <c r="A20" s="4" t="s">
        <v>17</v>
      </c>
      <c r="B20" s="15"/>
      <c r="C20" s="2" t="s">
        <v>1</v>
      </c>
      <c r="D20" s="4"/>
      <c r="E20" s="4"/>
      <c r="F20" s="4"/>
      <c r="G20" s="4"/>
      <c r="H20" s="4"/>
      <c r="I20" s="4"/>
      <c r="J20" s="4"/>
      <c r="K20" s="2" t="s">
        <v>9</v>
      </c>
      <c r="L20" s="2" t="s">
        <v>10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4.25" customHeight="1">
      <c r="A21" s="6"/>
      <c r="B21" s="6" t="s">
        <v>11</v>
      </c>
      <c r="C21" s="6">
        <v>27.0</v>
      </c>
      <c r="D21" s="8">
        <f t="shared" ref="D21:J21" si="7">D3-D15</f>
        <v>324.2</v>
      </c>
      <c r="E21" s="8">
        <f t="shared" si="7"/>
        <v>5362.3</v>
      </c>
      <c r="F21" s="8">
        <f t="shared" si="7"/>
        <v>12913.8</v>
      </c>
      <c r="G21" s="8">
        <f t="shared" si="7"/>
        <v>7730.3</v>
      </c>
      <c r="H21" s="8">
        <f t="shared" si="7"/>
        <v>1694.5</v>
      </c>
      <c r="I21" s="8">
        <f t="shared" si="7"/>
        <v>111.6</v>
      </c>
      <c r="J21" s="8">
        <f t="shared" si="7"/>
        <v>0</v>
      </c>
      <c r="K21" s="8">
        <f t="shared" ref="K21:K24" si="9">SUM(D21:I21)</f>
        <v>28136.7</v>
      </c>
      <c r="L21" s="7">
        <f t="shared" ref="L21:L24" si="10">K21/C21</f>
        <v>1042.1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4.25" customHeight="1">
      <c r="A22" s="6"/>
      <c r="B22" s="6" t="s">
        <v>12</v>
      </c>
      <c r="C22" s="6">
        <v>35.0</v>
      </c>
      <c r="D22" s="8">
        <f t="shared" ref="D22:J22" si="8">D4-D16</f>
        <v>242.8</v>
      </c>
      <c r="E22" s="8">
        <f t="shared" si="8"/>
        <v>2844.6</v>
      </c>
      <c r="F22" s="8">
        <f t="shared" si="8"/>
        <v>1801.1</v>
      </c>
      <c r="G22" s="8">
        <f t="shared" si="8"/>
        <v>440</v>
      </c>
      <c r="H22" s="8">
        <f t="shared" si="8"/>
        <v>159.8</v>
      </c>
      <c r="I22" s="8">
        <f t="shared" si="8"/>
        <v>7.9</v>
      </c>
      <c r="J22" s="8">
        <f t="shared" si="8"/>
        <v>0</v>
      </c>
      <c r="K22" s="8">
        <f t="shared" si="9"/>
        <v>5496.2</v>
      </c>
      <c r="L22" s="7">
        <f t="shared" si="10"/>
        <v>157.0342857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4.25" customHeight="1">
      <c r="A23" s="6"/>
      <c r="B23" s="6" t="s">
        <v>13</v>
      </c>
      <c r="C23" s="6">
        <v>41.0</v>
      </c>
      <c r="D23" s="8">
        <f t="shared" ref="D23:J23" si="11">D5-D17</f>
        <v>391.1</v>
      </c>
      <c r="E23" s="8">
        <f t="shared" si="11"/>
        <v>9035.4</v>
      </c>
      <c r="F23" s="8">
        <f t="shared" si="11"/>
        <v>15839.9</v>
      </c>
      <c r="G23" s="8">
        <f t="shared" si="11"/>
        <v>2524.3</v>
      </c>
      <c r="H23" s="8">
        <f t="shared" si="11"/>
        <v>32.4</v>
      </c>
      <c r="I23" s="8">
        <f t="shared" si="11"/>
        <v>0</v>
      </c>
      <c r="J23" s="8">
        <f t="shared" si="11"/>
        <v>0</v>
      </c>
      <c r="K23" s="8">
        <f t="shared" si="9"/>
        <v>27823.1</v>
      </c>
      <c r="L23" s="7">
        <f t="shared" si="10"/>
        <v>678.6121951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4.25" customHeight="1">
      <c r="A24" s="9" t="s">
        <v>14</v>
      </c>
      <c r="B24" s="4"/>
      <c r="C24" s="9">
        <f>SUM(C21:C23)</f>
        <v>103</v>
      </c>
      <c r="D24" s="14">
        <f t="shared" ref="D24:I24" si="12">D6-D18</f>
        <v>958.1</v>
      </c>
      <c r="E24" s="14">
        <f t="shared" si="12"/>
        <v>17242.3</v>
      </c>
      <c r="F24" s="14">
        <f t="shared" si="12"/>
        <v>30554.8</v>
      </c>
      <c r="G24" s="14">
        <f t="shared" si="12"/>
        <v>10694.6</v>
      </c>
      <c r="H24" s="14">
        <f t="shared" si="12"/>
        <v>1886.7</v>
      </c>
      <c r="I24" s="14">
        <f t="shared" si="12"/>
        <v>119.5</v>
      </c>
      <c r="J24" s="14"/>
      <c r="K24" s="14">
        <f t="shared" si="9"/>
        <v>61456</v>
      </c>
      <c r="L24" s="10">
        <f t="shared" si="10"/>
        <v>596.6601942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/>
      <c r="B25" s="15"/>
      <c r="C25" s="15"/>
      <c r="D25" s="14"/>
      <c r="E25" s="14"/>
      <c r="F25" s="14"/>
      <c r="G25" s="14"/>
      <c r="H25" s="14"/>
      <c r="I25" s="14"/>
      <c r="J25" s="14"/>
      <c r="K25" s="8"/>
      <c r="L25" s="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D26" s="16"/>
      <c r="E26" s="16"/>
      <c r="F26" s="16"/>
      <c r="G26" s="16"/>
      <c r="H26" s="16"/>
      <c r="I26" s="16"/>
      <c r="J26" s="16"/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13.14"/>
    <col customWidth="1" min="4" max="4" width="4.14"/>
    <col customWidth="1" min="5" max="10" width="10.71"/>
    <col customWidth="1" min="11" max="12" width="17.29"/>
    <col customWidth="1" min="13" max="26" width="10.71"/>
  </cols>
  <sheetData>
    <row r="1" ht="14.25" customHeight="1">
      <c r="A1" s="1" t="s">
        <v>0</v>
      </c>
      <c r="C1" s="2" t="s">
        <v>1</v>
      </c>
      <c r="D1" s="2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2" t="s">
        <v>9</v>
      </c>
      <c r="L1" s="2" t="s">
        <v>10</v>
      </c>
    </row>
    <row r="2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B3" s="5" t="s">
        <v>11</v>
      </c>
      <c r="C3" s="3">
        <v>27.0</v>
      </c>
      <c r="D3" s="6"/>
      <c r="E3" s="5">
        <v>378.9</v>
      </c>
      <c r="F3" s="5">
        <v>6561.5</v>
      </c>
      <c r="G3" s="5">
        <v>16201.6</v>
      </c>
      <c r="H3" s="5">
        <v>9923.9</v>
      </c>
      <c r="I3" s="5">
        <v>2194.5</v>
      </c>
      <c r="J3" s="5">
        <v>152.6</v>
      </c>
      <c r="K3" s="5">
        <f t="shared" ref="K3:K6" si="1">SUM(E3:J3)</f>
        <v>35413</v>
      </c>
      <c r="L3" s="7">
        <f t="shared" ref="L3:L6" si="2">K3/C3</f>
        <v>1311.592593</v>
      </c>
    </row>
    <row r="4" ht="14.25" customHeight="1">
      <c r="B4" s="5" t="s">
        <v>12</v>
      </c>
      <c r="C4" s="3">
        <v>35.0</v>
      </c>
      <c r="D4" s="6"/>
      <c r="E4" s="5">
        <v>279.9</v>
      </c>
      <c r="F4" s="5">
        <v>3324.6</v>
      </c>
      <c r="G4" s="8">
        <v>2213.3</v>
      </c>
      <c r="H4" s="8">
        <v>574.9</v>
      </c>
      <c r="I4" s="5">
        <v>215.8</v>
      </c>
      <c r="J4" s="8">
        <v>11.1</v>
      </c>
      <c r="K4" s="5">
        <f t="shared" si="1"/>
        <v>6619.6</v>
      </c>
      <c r="L4" s="7">
        <f t="shared" si="2"/>
        <v>189.1314286</v>
      </c>
    </row>
    <row r="5" ht="14.25" customHeight="1">
      <c r="B5" s="5" t="s">
        <v>13</v>
      </c>
      <c r="C5" s="3">
        <v>41.0</v>
      </c>
      <c r="D5" s="6"/>
      <c r="E5" s="5">
        <v>453.1</v>
      </c>
      <c r="F5" s="7">
        <v>10759.0</v>
      </c>
      <c r="G5" s="5">
        <v>19400.4</v>
      </c>
      <c r="H5" s="5">
        <v>3202.9</v>
      </c>
      <c r="I5" s="5">
        <v>48.8</v>
      </c>
      <c r="K5" s="5">
        <f t="shared" si="1"/>
        <v>33864.2</v>
      </c>
      <c r="L5" s="7">
        <f t="shared" si="2"/>
        <v>825.9560976</v>
      </c>
    </row>
    <row r="6" ht="14.25" customHeight="1">
      <c r="A6" s="9" t="s">
        <v>14</v>
      </c>
      <c r="B6" s="4"/>
      <c r="C6" s="17">
        <f>SUM(C3:C5)</f>
        <v>103</v>
      </c>
      <c r="D6" s="9"/>
      <c r="E6" s="4">
        <f t="shared" ref="E6:J6" si="3">SUM(E3:E5)</f>
        <v>1111.9</v>
      </c>
      <c r="F6" s="4">
        <f t="shared" si="3"/>
        <v>20645.1</v>
      </c>
      <c r="G6" s="4">
        <f t="shared" si="3"/>
        <v>37815.3</v>
      </c>
      <c r="H6" s="4">
        <f t="shared" si="3"/>
        <v>13701.7</v>
      </c>
      <c r="I6" s="4">
        <f t="shared" si="3"/>
        <v>2459.1</v>
      </c>
      <c r="J6" s="4">
        <f t="shared" si="3"/>
        <v>163.7</v>
      </c>
      <c r="K6" s="4">
        <f t="shared" si="1"/>
        <v>75896.8</v>
      </c>
      <c r="L6" s="10">
        <f t="shared" si="2"/>
        <v>736.8621359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9"/>
      <c r="B7" s="4"/>
      <c r="C7" s="9"/>
      <c r="D7" s="9"/>
      <c r="E7" s="4"/>
      <c r="F7" s="4"/>
      <c r="G7" s="4"/>
      <c r="H7" s="4"/>
      <c r="I7" s="4"/>
      <c r="J7" s="4"/>
      <c r="K7" s="4"/>
      <c r="L7" s="1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4" t="s">
        <v>15</v>
      </c>
      <c r="B8" s="9"/>
      <c r="C8" s="9"/>
      <c r="D8" s="9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6"/>
      <c r="B9" s="5" t="s">
        <v>11</v>
      </c>
      <c r="E9" s="6">
        <v>14.78</v>
      </c>
      <c r="F9" s="6">
        <v>17.74</v>
      </c>
      <c r="G9" s="6">
        <v>20.14</v>
      </c>
      <c r="H9" s="6">
        <v>21.97</v>
      </c>
      <c r="I9" s="6">
        <v>22.77</v>
      </c>
      <c r="J9" s="6">
        <v>26.5</v>
      </c>
      <c r="K9" s="6">
        <v>20.06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4.25" customHeight="1">
      <c r="A10" s="6"/>
      <c r="B10" s="5" t="s">
        <v>12</v>
      </c>
      <c r="E10" s="6">
        <v>12.82</v>
      </c>
      <c r="F10" s="6">
        <v>14.14</v>
      </c>
      <c r="G10" s="6">
        <v>17.78</v>
      </c>
      <c r="H10" s="6">
        <v>22.86</v>
      </c>
      <c r="I10" s="6">
        <v>25.65</v>
      </c>
      <c r="J10" s="6">
        <v>27.37</v>
      </c>
      <c r="K10" s="6">
        <v>16.54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4.25" customHeight="1">
      <c r="A11" s="6"/>
      <c r="B11" s="5" t="s">
        <v>13</v>
      </c>
      <c r="E11" s="6">
        <v>13.57</v>
      </c>
      <c r="F11" s="6">
        <v>15.98</v>
      </c>
      <c r="G11" s="6">
        <v>18.3</v>
      </c>
      <c r="H11" s="6">
        <v>21.04</v>
      </c>
      <c r="I11" s="6">
        <v>31.07</v>
      </c>
      <c r="J11" s="6"/>
      <c r="K11" s="6">
        <v>17.78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4.25" customHeight="1">
      <c r="A12" s="4"/>
      <c r="B12" s="9" t="s">
        <v>14</v>
      </c>
      <c r="C12" s="9"/>
      <c r="D12" s="9"/>
      <c r="E12" s="4">
        <v>13.99</v>
      </c>
      <c r="F12" s="4">
        <v>16.37</v>
      </c>
      <c r="G12" s="4">
        <v>19.09</v>
      </c>
      <c r="H12" s="4">
        <v>21.82</v>
      </c>
      <c r="I12" s="4">
        <v>23.3</v>
      </c>
      <c r="J12" s="4">
        <v>26.56</v>
      </c>
      <c r="K12" s="4">
        <v>18.78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4"/>
      <c r="B13" s="9"/>
      <c r="C13" s="9"/>
      <c r="D13" s="9"/>
      <c r="E13" s="4"/>
      <c r="F13" s="4"/>
      <c r="G13" s="4"/>
      <c r="H13" s="4"/>
      <c r="I13" s="4"/>
      <c r="J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1" t="s">
        <v>16</v>
      </c>
      <c r="B14" s="9"/>
      <c r="C14" s="2" t="s">
        <v>1</v>
      </c>
      <c r="D14" s="2"/>
      <c r="E14" s="4"/>
      <c r="F14" s="4"/>
      <c r="G14" s="4"/>
      <c r="H14" s="4"/>
      <c r="I14" s="4"/>
      <c r="J14" s="4"/>
      <c r="K14" s="2" t="s">
        <v>9</v>
      </c>
      <c r="L14" s="2" t="s">
        <v>10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6"/>
      <c r="B15" s="6" t="s">
        <v>11</v>
      </c>
      <c r="C15" s="6">
        <v>27.0</v>
      </c>
      <c r="D15" s="6"/>
      <c r="E15" s="8">
        <v>54.7</v>
      </c>
      <c r="F15" s="8">
        <v>1199.2</v>
      </c>
      <c r="G15" s="8">
        <v>3287.8</v>
      </c>
      <c r="H15" s="8">
        <v>2193.6</v>
      </c>
      <c r="I15" s="8">
        <v>500.0</v>
      </c>
      <c r="J15" s="8">
        <v>41.0</v>
      </c>
      <c r="K15" s="8">
        <f t="shared" ref="K15:K18" si="4">SUM(E15:J15)</f>
        <v>7276.3</v>
      </c>
      <c r="L15" s="7">
        <f t="shared" ref="L15:L18" si="5">K15/C15</f>
        <v>269.4925926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6"/>
      <c r="B16" s="6" t="s">
        <v>12</v>
      </c>
      <c r="C16" s="6">
        <v>35.0</v>
      </c>
      <c r="D16" s="6"/>
      <c r="E16" s="8">
        <v>37.1</v>
      </c>
      <c r="F16" s="8">
        <v>480.0</v>
      </c>
      <c r="G16" s="8">
        <v>412.2</v>
      </c>
      <c r="H16" s="8">
        <v>134.9</v>
      </c>
      <c r="I16" s="8">
        <v>56.0</v>
      </c>
      <c r="J16" s="8">
        <v>3.2</v>
      </c>
      <c r="K16" s="8">
        <f t="shared" si="4"/>
        <v>1123.4</v>
      </c>
      <c r="L16" s="7">
        <f t="shared" si="5"/>
        <v>32.09714286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4.25" customHeight="1">
      <c r="A17" s="6"/>
      <c r="B17" s="6" t="s">
        <v>13</v>
      </c>
      <c r="C17" s="6">
        <v>41.0</v>
      </c>
      <c r="D17" s="6"/>
      <c r="E17" s="8">
        <v>62.0</v>
      </c>
      <c r="F17" s="8">
        <v>1723.6</v>
      </c>
      <c r="G17" s="8">
        <v>3560.5</v>
      </c>
      <c r="H17" s="8">
        <v>678.6</v>
      </c>
      <c r="I17" s="8">
        <v>16.4</v>
      </c>
      <c r="J17" s="8">
        <f>J5*J11/100</f>
        <v>0</v>
      </c>
      <c r="K17" s="8">
        <f t="shared" si="4"/>
        <v>6041.1</v>
      </c>
      <c r="L17" s="7">
        <f t="shared" si="5"/>
        <v>147.3439024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4.25" customHeight="1">
      <c r="A18" s="9" t="s">
        <v>14</v>
      </c>
      <c r="B18" s="4"/>
      <c r="C18" s="9">
        <f>SUM(C15:C17)</f>
        <v>103</v>
      </c>
      <c r="D18" s="9"/>
      <c r="E18" s="14">
        <f t="shared" ref="E18:J18" si="6">SUM(E15:E17)</f>
        <v>153.8</v>
      </c>
      <c r="F18" s="14">
        <f t="shared" si="6"/>
        <v>3402.8</v>
      </c>
      <c r="G18" s="14">
        <f t="shared" si="6"/>
        <v>7260.5</v>
      </c>
      <c r="H18" s="14">
        <f t="shared" si="6"/>
        <v>3007.1</v>
      </c>
      <c r="I18" s="14">
        <f t="shared" si="6"/>
        <v>572.4</v>
      </c>
      <c r="J18" s="14">
        <f t="shared" si="6"/>
        <v>44.2</v>
      </c>
      <c r="K18" s="14">
        <f t="shared" si="4"/>
        <v>14440.8</v>
      </c>
      <c r="L18" s="10">
        <f t="shared" si="5"/>
        <v>140.2019417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6"/>
      <c r="B19" s="15"/>
      <c r="C19" s="15"/>
      <c r="D19" s="15"/>
      <c r="E19" s="8"/>
      <c r="F19" s="8"/>
      <c r="G19" s="8"/>
      <c r="H19" s="8"/>
      <c r="I19" s="8"/>
      <c r="J19" s="8"/>
      <c r="K19" s="8"/>
      <c r="L19" s="7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4.25" customHeight="1">
      <c r="A20" s="4" t="s">
        <v>17</v>
      </c>
      <c r="B20" s="15"/>
      <c r="C20" s="2" t="s">
        <v>1</v>
      </c>
      <c r="D20" s="2"/>
      <c r="E20" s="4"/>
      <c r="F20" s="4"/>
      <c r="G20" s="4"/>
      <c r="H20" s="4"/>
      <c r="I20" s="4"/>
      <c r="J20" s="4"/>
      <c r="K20" s="2" t="s">
        <v>9</v>
      </c>
      <c r="L20" s="2" t="s">
        <v>10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4.25" customHeight="1">
      <c r="A21" s="6"/>
      <c r="B21" s="6" t="s">
        <v>11</v>
      </c>
      <c r="C21" s="6">
        <v>27.0</v>
      </c>
      <c r="D21" s="6"/>
      <c r="E21" s="8">
        <f t="shared" ref="E21:J21" si="7">E3-E15</f>
        <v>324.2</v>
      </c>
      <c r="F21" s="8">
        <f t="shared" si="7"/>
        <v>5362.3</v>
      </c>
      <c r="G21" s="8">
        <f t="shared" si="7"/>
        <v>12913.8</v>
      </c>
      <c r="H21" s="8">
        <f t="shared" si="7"/>
        <v>7730.3</v>
      </c>
      <c r="I21" s="8">
        <f t="shared" si="7"/>
        <v>1694.5</v>
      </c>
      <c r="J21" s="8">
        <f t="shared" si="7"/>
        <v>111.6</v>
      </c>
      <c r="K21" s="8">
        <f t="shared" ref="K21:K24" si="9">SUM(E21:J21)</f>
        <v>28136.7</v>
      </c>
      <c r="L21" s="7">
        <f t="shared" ref="L21:L24" si="10">K21/C21</f>
        <v>1042.1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4.25" customHeight="1">
      <c r="A22" s="6"/>
      <c r="B22" s="6" t="s">
        <v>12</v>
      </c>
      <c r="C22" s="6">
        <v>35.0</v>
      </c>
      <c r="D22" s="6"/>
      <c r="E22" s="8">
        <f t="shared" ref="E22:J22" si="8">E4-E16</f>
        <v>242.8</v>
      </c>
      <c r="F22" s="8">
        <f t="shared" si="8"/>
        <v>2844.6</v>
      </c>
      <c r="G22" s="8">
        <f t="shared" si="8"/>
        <v>1801.1</v>
      </c>
      <c r="H22" s="8">
        <f t="shared" si="8"/>
        <v>440</v>
      </c>
      <c r="I22" s="8">
        <f t="shared" si="8"/>
        <v>159.8</v>
      </c>
      <c r="J22" s="8">
        <f t="shared" si="8"/>
        <v>7.9</v>
      </c>
      <c r="K22" s="8">
        <f t="shared" si="9"/>
        <v>5496.2</v>
      </c>
      <c r="L22" s="7">
        <f t="shared" si="10"/>
        <v>157.0342857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4.25" customHeight="1">
      <c r="A23" s="6"/>
      <c r="B23" s="6" t="s">
        <v>13</v>
      </c>
      <c r="C23" s="6">
        <v>41.0</v>
      </c>
      <c r="D23" s="6"/>
      <c r="E23" s="8">
        <f t="shared" ref="E23:J23" si="11">E5-E17</f>
        <v>391.1</v>
      </c>
      <c r="F23" s="8">
        <f t="shared" si="11"/>
        <v>9035.4</v>
      </c>
      <c r="G23" s="8">
        <f t="shared" si="11"/>
        <v>15839.9</v>
      </c>
      <c r="H23" s="8">
        <f t="shared" si="11"/>
        <v>2524.3</v>
      </c>
      <c r="I23" s="8">
        <f t="shared" si="11"/>
        <v>32.4</v>
      </c>
      <c r="J23" s="8">
        <f t="shared" si="11"/>
        <v>0</v>
      </c>
      <c r="K23" s="8">
        <f t="shared" si="9"/>
        <v>27823.1</v>
      </c>
      <c r="L23" s="7">
        <f t="shared" si="10"/>
        <v>678.6121951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4.25" customHeight="1">
      <c r="A24" s="9" t="s">
        <v>14</v>
      </c>
      <c r="B24" s="4"/>
      <c r="C24" s="9">
        <f>SUM(C21:C23)</f>
        <v>103</v>
      </c>
      <c r="D24" s="9"/>
      <c r="E24" s="14">
        <f t="shared" ref="E24:J24" si="12">E6-E18</f>
        <v>958.1</v>
      </c>
      <c r="F24" s="14">
        <f t="shared" si="12"/>
        <v>17242.3</v>
      </c>
      <c r="G24" s="14">
        <f t="shared" si="12"/>
        <v>30554.8</v>
      </c>
      <c r="H24" s="14">
        <f t="shared" si="12"/>
        <v>10694.6</v>
      </c>
      <c r="I24" s="14">
        <f t="shared" si="12"/>
        <v>1886.7</v>
      </c>
      <c r="J24" s="14">
        <f t="shared" si="12"/>
        <v>119.5</v>
      </c>
      <c r="K24" s="14">
        <f t="shared" si="9"/>
        <v>61456</v>
      </c>
      <c r="L24" s="10">
        <f t="shared" si="10"/>
        <v>596.6601942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/>
      <c r="B25" s="15"/>
      <c r="C25" s="15"/>
      <c r="D25" s="15"/>
      <c r="E25" s="14"/>
      <c r="F25" s="14"/>
      <c r="G25" s="14"/>
      <c r="H25" s="14"/>
      <c r="I25" s="14"/>
      <c r="J25" s="14"/>
      <c r="K25" s="8"/>
      <c r="L25" s="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E26" s="16"/>
      <c r="F26" s="16"/>
      <c r="G26" s="16"/>
      <c r="H26" s="16"/>
      <c r="I26" s="16"/>
      <c r="J26" s="16"/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13.14"/>
    <col customWidth="1" min="4" max="10" width="10.71"/>
    <col customWidth="1" min="11" max="12" width="17.29"/>
    <col customWidth="1" min="13" max="26" width="10.71"/>
  </cols>
  <sheetData>
    <row r="1" ht="14.25" customHeight="1">
      <c r="A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2" t="s">
        <v>9</v>
      </c>
      <c r="L1" s="2" t="s">
        <v>10</v>
      </c>
    </row>
    <row r="2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B3" s="5" t="s">
        <v>11</v>
      </c>
      <c r="C3" s="6">
        <v>27.0</v>
      </c>
      <c r="D3" s="5">
        <v>541.7</v>
      </c>
      <c r="E3" s="5">
        <v>7826.7</v>
      </c>
      <c r="F3" s="5">
        <v>11718.8</v>
      </c>
      <c r="G3" s="5">
        <v>7161.9</v>
      </c>
      <c r="H3" s="5">
        <v>1962.4</v>
      </c>
      <c r="I3" s="5">
        <v>570.2</v>
      </c>
      <c r="K3" s="5">
        <f t="shared" ref="K3:K5" si="1">SUM(D3:I3)</f>
        <v>29781.7</v>
      </c>
      <c r="L3" s="7">
        <f t="shared" ref="L3:L6" si="2">K3/C3</f>
        <v>1103.025926</v>
      </c>
    </row>
    <row r="4" ht="14.25" customHeight="1">
      <c r="B4" s="5" t="s">
        <v>12</v>
      </c>
      <c r="C4" s="6">
        <v>31.0</v>
      </c>
      <c r="D4" s="5">
        <v>1267.9</v>
      </c>
      <c r="E4" s="8">
        <v>13545.0</v>
      </c>
      <c r="F4" s="8">
        <v>6741.0</v>
      </c>
      <c r="G4" s="8">
        <v>2889.5</v>
      </c>
      <c r="H4" s="5">
        <v>2833.3</v>
      </c>
      <c r="I4" s="8">
        <v>1078.8</v>
      </c>
      <c r="J4" s="8">
        <v>1020.0</v>
      </c>
      <c r="K4" s="5">
        <f t="shared" si="1"/>
        <v>28355.5</v>
      </c>
      <c r="L4" s="7">
        <f t="shared" si="2"/>
        <v>914.6935484</v>
      </c>
    </row>
    <row r="5" ht="14.25" customHeight="1">
      <c r="B5" s="5" t="s">
        <v>13</v>
      </c>
      <c r="C5" s="6">
        <v>40.0</v>
      </c>
      <c r="D5" s="5">
        <v>758.6</v>
      </c>
      <c r="E5" s="8">
        <v>18506.7</v>
      </c>
      <c r="F5" s="5">
        <v>10439.6</v>
      </c>
      <c r="G5" s="5">
        <v>1531.8</v>
      </c>
      <c r="H5" s="5">
        <v>56.1</v>
      </c>
      <c r="K5" s="5">
        <f t="shared" si="1"/>
        <v>31292.8</v>
      </c>
      <c r="L5" s="7">
        <f t="shared" si="2"/>
        <v>782.32</v>
      </c>
    </row>
    <row r="6" ht="14.25" customHeight="1">
      <c r="A6" s="9" t="s">
        <v>14</v>
      </c>
      <c r="B6" s="4"/>
      <c r="C6" s="9">
        <f t="shared" ref="C6:J6" si="3">SUM(C3:C5)</f>
        <v>98</v>
      </c>
      <c r="D6" s="4">
        <f t="shared" si="3"/>
        <v>2568.2</v>
      </c>
      <c r="E6" s="4">
        <f t="shared" si="3"/>
        <v>39878.4</v>
      </c>
      <c r="F6" s="4">
        <f t="shared" si="3"/>
        <v>28899.4</v>
      </c>
      <c r="G6" s="4">
        <f t="shared" si="3"/>
        <v>11583.2</v>
      </c>
      <c r="H6" s="4">
        <f t="shared" si="3"/>
        <v>4851.8</v>
      </c>
      <c r="I6" s="14">
        <f t="shared" si="3"/>
        <v>1649</v>
      </c>
      <c r="J6" s="14">
        <f t="shared" si="3"/>
        <v>1020</v>
      </c>
      <c r="K6" s="4">
        <f>SUM(D6:J6)</f>
        <v>90450</v>
      </c>
      <c r="L6" s="10">
        <f t="shared" si="2"/>
        <v>922.9591837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9"/>
      <c r="B7" s="4"/>
      <c r="C7" s="9"/>
      <c r="D7" s="4"/>
      <c r="E7" s="4"/>
      <c r="F7" s="4"/>
      <c r="G7" s="4"/>
      <c r="H7" s="4"/>
      <c r="I7" s="4"/>
      <c r="J7" s="4"/>
      <c r="K7" s="4"/>
      <c r="L7" s="1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4" t="s">
        <v>15</v>
      </c>
      <c r="B8" s="9"/>
      <c r="C8" s="9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6"/>
      <c r="B9" s="5" t="s">
        <v>11</v>
      </c>
      <c r="D9" s="6">
        <v>12.69</v>
      </c>
      <c r="E9" s="6">
        <v>15.05</v>
      </c>
      <c r="F9" s="6">
        <v>17.52</v>
      </c>
      <c r="G9" s="7">
        <v>20.0</v>
      </c>
      <c r="H9" s="6">
        <v>22.22</v>
      </c>
      <c r="I9" s="6">
        <v>29.29</v>
      </c>
      <c r="J9" s="6"/>
      <c r="K9" s="6">
        <v>20.06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4.25" customHeight="1">
      <c r="A10" s="6"/>
      <c r="B10" s="5" t="s">
        <v>12</v>
      </c>
      <c r="D10" s="6">
        <v>14.78</v>
      </c>
      <c r="E10" s="6">
        <v>19.35</v>
      </c>
      <c r="F10" s="6">
        <v>22.56</v>
      </c>
      <c r="G10" s="6">
        <v>26.36</v>
      </c>
      <c r="H10" s="6">
        <v>28.03</v>
      </c>
      <c r="I10" s="6">
        <v>32.17</v>
      </c>
      <c r="J10" s="6">
        <v>30.06</v>
      </c>
      <c r="K10" s="6">
        <v>16.54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4.25" customHeight="1">
      <c r="A11" s="6"/>
      <c r="B11" s="5" t="s">
        <v>13</v>
      </c>
      <c r="D11" s="6">
        <v>13.36</v>
      </c>
      <c r="E11" s="6">
        <v>17.01</v>
      </c>
      <c r="F11" s="6">
        <v>18.45</v>
      </c>
      <c r="G11" s="6">
        <v>22.81</v>
      </c>
      <c r="H11" s="6">
        <v>22.31</v>
      </c>
      <c r="I11" s="6"/>
      <c r="J11" s="6"/>
      <c r="K11" s="6">
        <v>17.78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4.25" customHeight="1">
      <c r="A12" s="4"/>
      <c r="B12" s="9" t="s">
        <v>14</v>
      </c>
      <c r="C12" s="9"/>
      <c r="D12" s="4">
        <v>13.71</v>
      </c>
      <c r="E12" s="4">
        <v>17.21</v>
      </c>
      <c r="F12" s="4">
        <v>19.11</v>
      </c>
      <c r="G12" s="4">
        <v>22.23</v>
      </c>
      <c r="H12" s="4">
        <v>26.03</v>
      </c>
      <c r="I12" s="4">
        <v>26.56</v>
      </c>
      <c r="J12" s="4">
        <v>27.32</v>
      </c>
      <c r="K12" s="4">
        <v>18.78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4"/>
      <c r="B13" s="9"/>
      <c r="C13" s="9"/>
      <c r="D13" s="4"/>
      <c r="E13" s="4"/>
      <c r="F13" s="4"/>
      <c r="G13" s="4"/>
      <c r="H13" s="4"/>
      <c r="I13" s="4"/>
      <c r="J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1" t="s">
        <v>16</v>
      </c>
      <c r="B14" s="9"/>
      <c r="C14" s="2" t="s">
        <v>1</v>
      </c>
      <c r="D14" s="4"/>
      <c r="E14" s="4"/>
      <c r="F14" s="4"/>
      <c r="G14" s="4"/>
      <c r="H14" s="4"/>
      <c r="I14" s="4"/>
      <c r="J14" s="4"/>
      <c r="K14" s="2" t="s">
        <v>9</v>
      </c>
      <c r="L14" s="2" t="s">
        <v>10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6"/>
      <c r="B15" s="6" t="s">
        <v>11</v>
      </c>
      <c r="C15" s="6">
        <v>27.0</v>
      </c>
      <c r="D15" s="8">
        <v>72.7</v>
      </c>
      <c r="E15" s="8">
        <v>1314.4</v>
      </c>
      <c r="F15" s="8">
        <v>2218.8</v>
      </c>
      <c r="G15" s="8">
        <v>1542.9</v>
      </c>
      <c r="H15" s="8">
        <v>464.0</v>
      </c>
      <c r="I15" s="8">
        <v>167.0</v>
      </c>
      <c r="J15" s="8">
        <v>0.0</v>
      </c>
      <c r="K15" s="8">
        <f t="shared" ref="K15:K17" si="4">SUM(D15:I15)</f>
        <v>5779.8</v>
      </c>
      <c r="L15" s="7">
        <f t="shared" ref="L15:L18" si="5">K15/C15</f>
        <v>214.0666667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6"/>
      <c r="B16" s="6" t="s">
        <v>12</v>
      </c>
      <c r="C16" s="6">
        <v>31.0</v>
      </c>
      <c r="D16" s="8">
        <v>186.6</v>
      </c>
      <c r="E16" s="8">
        <v>2632.5</v>
      </c>
      <c r="F16" s="8">
        <v>1452.8</v>
      </c>
      <c r="G16" s="8">
        <v>781.2</v>
      </c>
      <c r="H16" s="8">
        <v>793.2</v>
      </c>
      <c r="I16" s="8">
        <v>348.8</v>
      </c>
      <c r="J16" s="8">
        <v>309.1</v>
      </c>
      <c r="K16" s="8">
        <f t="shared" si="4"/>
        <v>6195.1</v>
      </c>
      <c r="L16" s="7">
        <f t="shared" si="5"/>
        <v>199.8419355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4.25" customHeight="1">
      <c r="A17" s="6"/>
      <c r="B17" s="6" t="s">
        <v>13</v>
      </c>
      <c r="C17" s="6">
        <v>40.0</v>
      </c>
      <c r="D17" s="8">
        <v>100.7</v>
      </c>
      <c r="E17" s="8">
        <v>3156.5</v>
      </c>
      <c r="F17" s="8">
        <v>1928.3</v>
      </c>
      <c r="G17" s="8">
        <v>359.0</v>
      </c>
      <c r="H17" s="8">
        <v>12.8</v>
      </c>
      <c r="I17" s="8">
        <f>I5*I11/100</f>
        <v>0</v>
      </c>
      <c r="J17" s="8">
        <v>0.0</v>
      </c>
      <c r="K17" s="8">
        <f t="shared" si="4"/>
        <v>5557.3</v>
      </c>
      <c r="L17" s="7">
        <f t="shared" si="5"/>
        <v>138.9325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4.25" customHeight="1">
      <c r="A18" s="9" t="s">
        <v>14</v>
      </c>
      <c r="B18" s="4"/>
      <c r="C18" s="9">
        <f t="shared" ref="C18:J18" si="6">SUM(C15:C17)</f>
        <v>98</v>
      </c>
      <c r="D18" s="14">
        <f t="shared" si="6"/>
        <v>360</v>
      </c>
      <c r="E18" s="14">
        <f t="shared" si="6"/>
        <v>7103.4</v>
      </c>
      <c r="F18" s="14">
        <f t="shared" si="6"/>
        <v>5599.9</v>
      </c>
      <c r="G18" s="14">
        <f t="shared" si="6"/>
        <v>2683.1</v>
      </c>
      <c r="H18" s="14">
        <f t="shared" si="6"/>
        <v>1270</v>
      </c>
      <c r="I18" s="14">
        <f t="shared" si="6"/>
        <v>515.8</v>
      </c>
      <c r="J18" s="14">
        <f t="shared" si="6"/>
        <v>309.1</v>
      </c>
      <c r="K18" s="14">
        <f>SUM(D18:J18)</f>
        <v>17841.3</v>
      </c>
      <c r="L18" s="10">
        <f t="shared" si="5"/>
        <v>182.0540816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6"/>
      <c r="B19" s="15"/>
      <c r="C19" s="15"/>
      <c r="D19" s="8"/>
      <c r="E19" s="8"/>
      <c r="F19" s="8"/>
      <c r="G19" s="8"/>
      <c r="H19" s="8"/>
      <c r="I19" s="8"/>
      <c r="J19" s="8"/>
      <c r="K19" s="8"/>
      <c r="L19" s="7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4.25" customHeight="1">
      <c r="A20" s="4" t="s">
        <v>17</v>
      </c>
      <c r="B20" s="15"/>
      <c r="C20" s="2" t="s">
        <v>1</v>
      </c>
      <c r="D20" s="4"/>
      <c r="E20" s="4"/>
      <c r="F20" s="4"/>
      <c r="G20" s="4"/>
      <c r="H20" s="4"/>
      <c r="I20" s="4"/>
      <c r="J20" s="4"/>
      <c r="K20" s="2" t="s">
        <v>9</v>
      </c>
      <c r="L20" s="2" t="s">
        <v>10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4.25" customHeight="1">
      <c r="A21" s="6"/>
      <c r="B21" s="6" t="s">
        <v>11</v>
      </c>
      <c r="C21" s="6">
        <v>27.0</v>
      </c>
      <c r="D21" s="8">
        <f t="shared" ref="D21:J21" si="7">D3-D15</f>
        <v>469</v>
      </c>
      <c r="E21" s="8">
        <f t="shared" si="7"/>
        <v>6512.3</v>
      </c>
      <c r="F21" s="8">
        <f t="shared" si="7"/>
        <v>9500</v>
      </c>
      <c r="G21" s="8">
        <f t="shared" si="7"/>
        <v>5619</v>
      </c>
      <c r="H21" s="8">
        <f t="shared" si="7"/>
        <v>1498.4</v>
      </c>
      <c r="I21" s="8">
        <f t="shared" si="7"/>
        <v>403.2</v>
      </c>
      <c r="J21" s="8">
        <f t="shared" si="7"/>
        <v>0</v>
      </c>
      <c r="K21" s="8">
        <f t="shared" ref="K21:K24" si="9">SUM(D21:I21)</f>
        <v>24001.9</v>
      </c>
      <c r="L21" s="7">
        <f t="shared" ref="L21:L24" si="10">K21/C21</f>
        <v>888.9592593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4.25" customHeight="1">
      <c r="A22" s="6"/>
      <c r="B22" s="6" t="s">
        <v>12</v>
      </c>
      <c r="C22" s="6">
        <v>31.0</v>
      </c>
      <c r="D22" s="8">
        <f t="shared" ref="D22:J22" si="8">D4-D16</f>
        <v>1081.3</v>
      </c>
      <c r="E22" s="8">
        <f t="shared" si="8"/>
        <v>10912.5</v>
      </c>
      <c r="F22" s="8">
        <f t="shared" si="8"/>
        <v>5288.2</v>
      </c>
      <c r="G22" s="8">
        <f t="shared" si="8"/>
        <v>2108.3</v>
      </c>
      <c r="H22" s="8">
        <f t="shared" si="8"/>
        <v>2040.1</v>
      </c>
      <c r="I22" s="8">
        <f t="shared" si="8"/>
        <v>730</v>
      </c>
      <c r="J22" s="8">
        <f t="shared" si="8"/>
        <v>710.9</v>
      </c>
      <c r="K22" s="8">
        <f t="shared" si="9"/>
        <v>22160.4</v>
      </c>
      <c r="L22" s="7">
        <f t="shared" si="10"/>
        <v>714.8516129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4.25" customHeight="1">
      <c r="A23" s="6"/>
      <c r="B23" s="6" t="s">
        <v>13</v>
      </c>
      <c r="C23" s="6">
        <v>40.0</v>
      </c>
      <c r="D23" s="8">
        <f t="shared" ref="D23:J23" si="11">D5-D17</f>
        <v>657.9</v>
      </c>
      <c r="E23" s="8">
        <f t="shared" si="11"/>
        <v>15350.2</v>
      </c>
      <c r="F23" s="8">
        <f t="shared" si="11"/>
        <v>8511.3</v>
      </c>
      <c r="G23" s="8">
        <f t="shared" si="11"/>
        <v>1172.8</v>
      </c>
      <c r="H23" s="8">
        <f t="shared" si="11"/>
        <v>43.3</v>
      </c>
      <c r="I23" s="8">
        <f t="shared" si="11"/>
        <v>0</v>
      </c>
      <c r="J23" s="8">
        <f t="shared" si="11"/>
        <v>0</v>
      </c>
      <c r="K23" s="8">
        <f t="shared" si="9"/>
        <v>25735.5</v>
      </c>
      <c r="L23" s="7">
        <f t="shared" si="10"/>
        <v>643.3875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4.25" customHeight="1">
      <c r="A24" s="9" t="s">
        <v>14</v>
      </c>
      <c r="B24" s="4"/>
      <c r="C24" s="9">
        <f>SUM(C21:C23)</f>
        <v>98</v>
      </c>
      <c r="D24" s="14">
        <f t="shared" ref="D24:I24" si="12">D6-D18</f>
        <v>2208.2</v>
      </c>
      <c r="E24" s="14">
        <f t="shared" si="12"/>
        <v>32775</v>
      </c>
      <c r="F24" s="14">
        <f t="shared" si="12"/>
        <v>23299.5</v>
      </c>
      <c r="G24" s="14">
        <f t="shared" si="12"/>
        <v>8900.1</v>
      </c>
      <c r="H24" s="14">
        <f t="shared" si="12"/>
        <v>3581.8</v>
      </c>
      <c r="I24" s="14">
        <f t="shared" si="12"/>
        <v>1133.2</v>
      </c>
      <c r="J24" s="14"/>
      <c r="K24" s="14">
        <f t="shared" si="9"/>
        <v>71897.8</v>
      </c>
      <c r="L24" s="10">
        <f t="shared" si="10"/>
        <v>733.6510204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/>
      <c r="B25" s="15"/>
      <c r="C25" s="15"/>
      <c r="D25" s="14"/>
      <c r="E25" s="14"/>
      <c r="F25" s="14"/>
      <c r="G25" s="14"/>
      <c r="H25" s="14"/>
      <c r="I25" s="14"/>
      <c r="J25" s="14"/>
      <c r="K25" s="8"/>
      <c r="L25" s="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D26" s="16"/>
      <c r="E26" s="16"/>
      <c r="F26" s="16"/>
      <c r="G26" s="16"/>
      <c r="H26" s="16"/>
      <c r="I26" s="16"/>
      <c r="J26" s="16"/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13.14"/>
    <col customWidth="1" min="4" max="4" width="4.43"/>
    <col customWidth="1" min="5" max="10" width="10.71"/>
    <col customWidth="1" min="11" max="12" width="17.29"/>
    <col customWidth="1" min="13" max="26" width="10.71"/>
  </cols>
  <sheetData>
    <row r="1" ht="14.25" customHeight="1">
      <c r="A1" s="1" t="s">
        <v>0</v>
      </c>
      <c r="C1" s="2" t="s">
        <v>1</v>
      </c>
      <c r="D1" s="2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2" t="s">
        <v>9</v>
      </c>
      <c r="L1" s="2" t="s">
        <v>10</v>
      </c>
    </row>
    <row r="2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B3" s="5" t="s">
        <v>11</v>
      </c>
      <c r="C3" s="3">
        <v>27.0</v>
      </c>
      <c r="D3" s="6"/>
      <c r="E3" s="5">
        <v>541.7</v>
      </c>
      <c r="F3" s="5">
        <v>7826.7</v>
      </c>
      <c r="G3" s="5">
        <v>11718.8</v>
      </c>
      <c r="H3" s="5">
        <v>7161.9</v>
      </c>
      <c r="I3" s="5">
        <v>1962.4</v>
      </c>
      <c r="J3" s="5">
        <v>570.2</v>
      </c>
      <c r="K3" s="5">
        <f t="shared" ref="K3:K6" si="1">SUM(E3:J3)</f>
        <v>29781.7</v>
      </c>
      <c r="L3" s="7">
        <f t="shared" ref="L3:L6" si="2">K3/C3</f>
        <v>1103.025926</v>
      </c>
    </row>
    <row r="4" ht="14.25" customHeight="1">
      <c r="B4" s="5" t="s">
        <v>12</v>
      </c>
      <c r="C4" s="3">
        <v>31.0</v>
      </c>
      <c r="D4" s="6"/>
      <c r="E4" s="5">
        <v>1267.9</v>
      </c>
      <c r="F4" s="8">
        <v>13545.0</v>
      </c>
      <c r="G4" s="8">
        <v>6741.0</v>
      </c>
      <c r="H4" s="8">
        <v>2889.5</v>
      </c>
      <c r="I4" s="5">
        <v>2833.3</v>
      </c>
      <c r="J4" s="8">
        <v>1078.8</v>
      </c>
      <c r="K4" s="5">
        <f t="shared" si="1"/>
        <v>28355.5</v>
      </c>
      <c r="L4" s="7">
        <f t="shared" si="2"/>
        <v>914.6935484</v>
      </c>
    </row>
    <row r="5" ht="14.25" customHeight="1">
      <c r="B5" s="5" t="s">
        <v>13</v>
      </c>
      <c r="C5" s="3">
        <v>40.0</v>
      </c>
      <c r="D5" s="6"/>
      <c r="E5" s="5">
        <v>758.6</v>
      </c>
      <c r="F5" s="8">
        <v>18506.7</v>
      </c>
      <c r="G5" s="5">
        <v>10439.6</v>
      </c>
      <c r="H5" s="5">
        <v>1531.8</v>
      </c>
      <c r="I5" s="5">
        <v>56.1</v>
      </c>
      <c r="K5" s="5">
        <f t="shared" si="1"/>
        <v>31292.8</v>
      </c>
      <c r="L5" s="7">
        <f t="shared" si="2"/>
        <v>782.32</v>
      </c>
    </row>
    <row r="6" ht="14.25" customHeight="1">
      <c r="A6" s="9" t="s">
        <v>14</v>
      </c>
      <c r="B6" s="4"/>
      <c r="C6" s="17">
        <f>SUM(C3:C5)</f>
        <v>98</v>
      </c>
      <c r="D6" s="9"/>
      <c r="E6" s="4">
        <f t="shared" ref="E6:J6" si="3">SUM(E3:E5)</f>
        <v>2568.2</v>
      </c>
      <c r="F6" s="4">
        <f t="shared" si="3"/>
        <v>39878.4</v>
      </c>
      <c r="G6" s="4">
        <f t="shared" si="3"/>
        <v>28899.4</v>
      </c>
      <c r="H6" s="4">
        <f t="shared" si="3"/>
        <v>11583.2</v>
      </c>
      <c r="I6" s="4">
        <f t="shared" si="3"/>
        <v>4851.8</v>
      </c>
      <c r="J6" s="14">
        <f t="shared" si="3"/>
        <v>1649</v>
      </c>
      <c r="K6" s="4">
        <f t="shared" si="1"/>
        <v>89430</v>
      </c>
      <c r="L6" s="10">
        <f t="shared" si="2"/>
        <v>912.5510204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9"/>
      <c r="B7" s="4"/>
      <c r="C7" s="9"/>
      <c r="D7" s="9"/>
      <c r="E7" s="4"/>
      <c r="F7" s="4"/>
      <c r="G7" s="4"/>
      <c r="H7" s="4"/>
      <c r="I7" s="4"/>
      <c r="J7" s="4"/>
      <c r="K7" s="4"/>
      <c r="L7" s="1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4" t="s">
        <v>15</v>
      </c>
      <c r="B8" s="9"/>
      <c r="C8" s="9"/>
      <c r="D8" s="9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6"/>
      <c r="B9" s="5" t="s">
        <v>11</v>
      </c>
      <c r="E9" s="6">
        <v>12.69</v>
      </c>
      <c r="F9" s="6">
        <v>15.05</v>
      </c>
      <c r="G9" s="6">
        <v>17.52</v>
      </c>
      <c r="H9" s="7">
        <v>20.0</v>
      </c>
      <c r="I9" s="6">
        <v>22.22</v>
      </c>
      <c r="J9" s="6">
        <v>29.29</v>
      </c>
      <c r="K9" s="6">
        <v>20.06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4.25" customHeight="1">
      <c r="A10" s="6"/>
      <c r="B10" s="5" t="s">
        <v>12</v>
      </c>
      <c r="E10" s="6">
        <v>14.78</v>
      </c>
      <c r="F10" s="6">
        <v>19.35</v>
      </c>
      <c r="G10" s="6">
        <v>22.56</v>
      </c>
      <c r="H10" s="6">
        <v>26.36</v>
      </c>
      <c r="I10" s="6">
        <v>28.03</v>
      </c>
      <c r="J10" s="6">
        <v>32.17</v>
      </c>
      <c r="K10" s="6">
        <v>16.54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4.25" customHeight="1">
      <c r="A11" s="6"/>
      <c r="B11" s="5" t="s">
        <v>13</v>
      </c>
      <c r="E11" s="6">
        <v>13.36</v>
      </c>
      <c r="F11" s="6">
        <v>17.01</v>
      </c>
      <c r="G11" s="6">
        <v>18.45</v>
      </c>
      <c r="H11" s="6">
        <v>22.81</v>
      </c>
      <c r="I11" s="6">
        <v>22.31</v>
      </c>
      <c r="J11" s="6"/>
      <c r="K11" s="6">
        <v>17.78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4.25" customHeight="1">
      <c r="A12" s="4"/>
      <c r="B12" s="9" t="s">
        <v>14</v>
      </c>
      <c r="C12" s="9"/>
      <c r="D12" s="9"/>
      <c r="E12" s="4">
        <v>13.71</v>
      </c>
      <c r="F12" s="4">
        <v>17.21</v>
      </c>
      <c r="G12" s="4">
        <v>19.11</v>
      </c>
      <c r="H12" s="4">
        <v>22.23</v>
      </c>
      <c r="I12" s="4">
        <v>26.03</v>
      </c>
      <c r="J12" s="4">
        <v>26.56</v>
      </c>
      <c r="K12" s="4">
        <v>18.78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4"/>
      <c r="B13" s="9"/>
      <c r="C13" s="9"/>
      <c r="D13" s="9"/>
      <c r="E13" s="4"/>
      <c r="F13" s="4"/>
      <c r="G13" s="4"/>
      <c r="H13" s="4"/>
      <c r="I13" s="4"/>
      <c r="J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1" t="s">
        <v>16</v>
      </c>
      <c r="B14" s="9"/>
      <c r="C14" s="2" t="s">
        <v>1</v>
      </c>
      <c r="D14" s="2"/>
      <c r="E14" s="4"/>
      <c r="F14" s="4"/>
      <c r="G14" s="4"/>
      <c r="H14" s="4"/>
      <c r="I14" s="4"/>
      <c r="J14" s="4"/>
      <c r="K14" s="2" t="s">
        <v>9</v>
      </c>
      <c r="L14" s="2" t="s">
        <v>10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6"/>
      <c r="B15" s="6" t="s">
        <v>11</v>
      </c>
      <c r="C15" s="6">
        <v>27.0</v>
      </c>
      <c r="D15" s="6"/>
      <c r="E15" s="8">
        <v>72.7</v>
      </c>
      <c r="F15" s="8">
        <v>1314.4</v>
      </c>
      <c r="G15" s="8">
        <v>2218.8</v>
      </c>
      <c r="H15" s="8">
        <v>1542.9</v>
      </c>
      <c r="I15" s="8">
        <v>464.0</v>
      </c>
      <c r="J15" s="8">
        <v>167.0</v>
      </c>
      <c r="K15" s="8">
        <f t="shared" ref="K15:K18" si="4">SUM(E15:J15)</f>
        <v>5779.8</v>
      </c>
      <c r="L15" s="7">
        <f t="shared" ref="L15:L18" si="5">K15/C15</f>
        <v>214.0666667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6"/>
      <c r="B16" s="6" t="s">
        <v>12</v>
      </c>
      <c r="C16" s="6">
        <v>31.0</v>
      </c>
      <c r="D16" s="6"/>
      <c r="E16" s="8">
        <v>186.6</v>
      </c>
      <c r="F16" s="8">
        <v>2632.5</v>
      </c>
      <c r="G16" s="8">
        <v>1452.8</v>
      </c>
      <c r="H16" s="8">
        <v>781.2</v>
      </c>
      <c r="I16" s="8">
        <v>793.2</v>
      </c>
      <c r="J16" s="8">
        <v>348.8</v>
      </c>
      <c r="K16" s="8">
        <f t="shared" si="4"/>
        <v>6195.1</v>
      </c>
      <c r="L16" s="7">
        <f t="shared" si="5"/>
        <v>199.8419355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4.25" customHeight="1">
      <c r="A17" s="6"/>
      <c r="B17" s="6" t="s">
        <v>13</v>
      </c>
      <c r="C17" s="6">
        <v>40.0</v>
      </c>
      <c r="D17" s="6"/>
      <c r="E17" s="8">
        <v>100.7</v>
      </c>
      <c r="F17" s="8">
        <v>3156.5</v>
      </c>
      <c r="G17" s="8">
        <v>1928.3</v>
      </c>
      <c r="H17" s="8">
        <v>359.0</v>
      </c>
      <c r="I17" s="8">
        <v>12.8</v>
      </c>
      <c r="J17" s="8">
        <f>J5*J11/100</f>
        <v>0</v>
      </c>
      <c r="K17" s="8">
        <f t="shared" si="4"/>
        <v>5557.3</v>
      </c>
      <c r="L17" s="7">
        <f t="shared" si="5"/>
        <v>138.9325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4.25" customHeight="1">
      <c r="A18" s="9" t="s">
        <v>14</v>
      </c>
      <c r="B18" s="4"/>
      <c r="C18" s="9">
        <f>SUM(C15:C17)</f>
        <v>98</v>
      </c>
      <c r="D18" s="9"/>
      <c r="E18" s="14">
        <f t="shared" ref="E18:J18" si="6">SUM(E15:E17)</f>
        <v>360</v>
      </c>
      <c r="F18" s="14">
        <f t="shared" si="6"/>
        <v>7103.4</v>
      </c>
      <c r="G18" s="14">
        <f t="shared" si="6"/>
        <v>5599.9</v>
      </c>
      <c r="H18" s="14">
        <f t="shared" si="6"/>
        <v>2683.1</v>
      </c>
      <c r="I18" s="14">
        <f t="shared" si="6"/>
        <v>1270</v>
      </c>
      <c r="J18" s="14">
        <f t="shared" si="6"/>
        <v>515.8</v>
      </c>
      <c r="K18" s="14">
        <f t="shared" si="4"/>
        <v>17532.2</v>
      </c>
      <c r="L18" s="10">
        <f t="shared" si="5"/>
        <v>178.9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6"/>
      <c r="B19" s="15"/>
      <c r="C19" s="15"/>
      <c r="D19" s="15"/>
      <c r="E19" s="8"/>
      <c r="F19" s="8"/>
      <c r="G19" s="8"/>
      <c r="H19" s="8"/>
      <c r="I19" s="8"/>
      <c r="J19" s="8"/>
      <c r="K19" s="8"/>
      <c r="L19" s="7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4.25" customHeight="1">
      <c r="A20" s="4" t="s">
        <v>17</v>
      </c>
      <c r="B20" s="15"/>
      <c r="C20" s="2" t="s">
        <v>1</v>
      </c>
      <c r="D20" s="2"/>
      <c r="E20" s="4"/>
      <c r="F20" s="4"/>
      <c r="G20" s="4"/>
      <c r="H20" s="4"/>
      <c r="I20" s="4"/>
      <c r="J20" s="4"/>
      <c r="K20" s="2" t="s">
        <v>9</v>
      </c>
      <c r="L20" s="2" t="s">
        <v>10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4.25" customHeight="1">
      <c r="A21" s="6"/>
      <c r="B21" s="6" t="s">
        <v>11</v>
      </c>
      <c r="C21" s="6">
        <v>27.0</v>
      </c>
      <c r="D21" s="6"/>
      <c r="E21" s="8">
        <f t="shared" ref="E21:J21" si="7">E3-E15</f>
        <v>469</v>
      </c>
      <c r="F21" s="8">
        <f t="shared" si="7"/>
        <v>6512.3</v>
      </c>
      <c r="G21" s="8">
        <f t="shared" si="7"/>
        <v>9500</v>
      </c>
      <c r="H21" s="8">
        <f t="shared" si="7"/>
        <v>5619</v>
      </c>
      <c r="I21" s="8">
        <f t="shared" si="7"/>
        <v>1498.4</v>
      </c>
      <c r="J21" s="8">
        <f t="shared" si="7"/>
        <v>403.2</v>
      </c>
      <c r="K21" s="8">
        <f t="shared" ref="K21:K24" si="9">SUM(E21:J21)</f>
        <v>24001.9</v>
      </c>
      <c r="L21" s="7">
        <f t="shared" ref="L21:L24" si="10">K21/C21</f>
        <v>888.9592593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4.25" customHeight="1">
      <c r="A22" s="6"/>
      <c r="B22" s="6" t="s">
        <v>12</v>
      </c>
      <c r="C22" s="6">
        <v>31.0</v>
      </c>
      <c r="D22" s="6"/>
      <c r="E22" s="8">
        <f t="shared" ref="E22:J22" si="8">E4-E16</f>
        <v>1081.3</v>
      </c>
      <c r="F22" s="8">
        <f t="shared" si="8"/>
        <v>10912.5</v>
      </c>
      <c r="G22" s="8">
        <f t="shared" si="8"/>
        <v>5288.2</v>
      </c>
      <c r="H22" s="8">
        <f t="shared" si="8"/>
        <v>2108.3</v>
      </c>
      <c r="I22" s="8">
        <f t="shared" si="8"/>
        <v>2040.1</v>
      </c>
      <c r="J22" s="8">
        <f t="shared" si="8"/>
        <v>730</v>
      </c>
      <c r="K22" s="8">
        <f t="shared" si="9"/>
        <v>22160.4</v>
      </c>
      <c r="L22" s="7">
        <f t="shared" si="10"/>
        <v>714.8516129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4.25" customHeight="1">
      <c r="A23" s="6"/>
      <c r="B23" s="6" t="s">
        <v>13</v>
      </c>
      <c r="C23" s="6">
        <v>40.0</v>
      </c>
      <c r="D23" s="6"/>
      <c r="E23" s="8">
        <f t="shared" ref="E23:J23" si="11">E5-E17</f>
        <v>657.9</v>
      </c>
      <c r="F23" s="8">
        <f t="shared" si="11"/>
        <v>15350.2</v>
      </c>
      <c r="G23" s="8">
        <f t="shared" si="11"/>
        <v>8511.3</v>
      </c>
      <c r="H23" s="8">
        <f t="shared" si="11"/>
        <v>1172.8</v>
      </c>
      <c r="I23" s="8">
        <f t="shared" si="11"/>
        <v>43.3</v>
      </c>
      <c r="J23" s="8">
        <f t="shared" si="11"/>
        <v>0</v>
      </c>
      <c r="K23" s="8">
        <f t="shared" si="9"/>
        <v>25735.5</v>
      </c>
      <c r="L23" s="7">
        <f t="shared" si="10"/>
        <v>643.3875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4.25" customHeight="1">
      <c r="A24" s="9" t="s">
        <v>14</v>
      </c>
      <c r="B24" s="4"/>
      <c r="C24" s="9">
        <f>SUM(C21:C23)</f>
        <v>98</v>
      </c>
      <c r="D24" s="9"/>
      <c r="E24" s="14">
        <f t="shared" ref="E24:J24" si="12">E6-E18</f>
        <v>2208.2</v>
      </c>
      <c r="F24" s="14">
        <f t="shared" si="12"/>
        <v>32775</v>
      </c>
      <c r="G24" s="14">
        <f t="shared" si="12"/>
        <v>23299.5</v>
      </c>
      <c r="H24" s="14">
        <f t="shared" si="12"/>
        <v>8900.1</v>
      </c>
      <c r="I24" s="14">
        <f t="shared" si="12"/>
        <v>3581.8</v>
      </c>
      <c r="J24" s="14">
        <f t="shared" si="12"/>
        <v>1133.2</v>
      </c>
      <c r="K24" s="14">
        <f t="shared" si="9"/>
        <v>71897.8</v>
      </c>
      <c r="L24" s="10">
        <f t="shared" si="10"/>
        <v>733.6510204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/>
      <c r="B25" s="15"/>
      <c r="C25" s="15"/>
      <c r="D25" s="15"/>
      <c r="E25" s="14"/>
      <c r="F25" s="14"/>
      <c r="G25" s="14"/>
      <c r="H25" s="14"/>
      <c r="I25" s="14"/>
      <c r="J25" s="14"/>
      <c r="K25" s="8"/>
      <c r="L25" s="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E26" s="16"/>
      <c r="F26" s="16"/>
      <c r="G26" s="16"/>
      <c r="H26" s="16"/>
      <c r="I26" s="16"/>
      <c r="J26" s="16"/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13.14"/>
    <col customWidth="1" min="4" max="4" width="3.14"/>
    <col customWidth="1" min="5" max="10" width="10.71"/>
    <col customWidth="1" min="11" max="12" width="17.29"/>
    <col customWidth="1" min="13" max="13" width="18.57"/>
    <col customWidth="1" min="14" max="14" width="19.43"/>
    <col customWidth="1" min="15" max="15" width="5.57"/>
    <col customWidth="1" min="16" max="17" width="10.71"/>
    <col customWidth="1" min="18" max="18" width="11.29"/>
    <col customWidth="1" min="19" max="21" width="10.71"/>
    <col customWidth="1" min="22" max="22" width="12.57"/>
    <col customWidth="1" min="23" max="26" width="10.71"/>
  </cols>
  <sheetData>
    <row r="1" ht="14.25" customHeight="1">
      <c r="A1" s="1" t="s">
        <v>0</v>
      </c>
      <c r="C1" s="2" t="s">
        <v>1</v>
      </c>
      <c r="D1" s="2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2" t="s">
        <v>9</v>
      </c>
      <c r="L1" s="2" t="s">
        <v>10</v>
      </c>
      <c r="M1" s="2" t="s">
        <v>18</v>
      </c>
      <c r="N1" s="2" t="s">
        <v>19</v>
      </c>
      <c r="P1" s="1" t="s">
        <v>0</v>
      </c>
      <c r="R1" s="18" t="s">
        <v>20</v>
      </c>
      <c r="S1" s="18" t="s">
        <v>21</v>
      </c>
      <c r="T1" s="18" t="s">
        <v>22</v>
      </c>
      <c r="U1" s="18" t="s">
        <v>23</v>
      </c>
    </row>
    <row r="2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B3" s="5" t="s">
        <v>11</v>
      </c>
      <c r="C3" s="3">
        <v>26.0</v>
      </c>
      <c r="D3" s="6"/>
      <c r="E3" s="5">
        <v>1232.2</v>
      </c>
      <c r="F3" s="5">
        <v>10263.1</v>
      </c>
      <c r="G3" s="8">
        <v>14811.0</v>
      </c>
      <c r="H3" s="5">
        <v>7419.1</v>
      </c>
      <c r="I3" s="5">
        <v>1233.5</v>
      </c>
      <c r="J3" s="5">
        <v>453.7</v>
      </c>
      <c r="K3" s="5">
        <f t="shared" ref="K3:K6" si="1">SUM(E3:J3)</f>
        <v>35412.6</v>
      </c>
      <c r="L3" s="7">
        <f t="shared" ref="L3:L6" si="2">K3/C3</f>
        <v>1362.023077</v>
      </c>
      <c r="M3" s="7">
        <f t="shared" ref="M3:M5" si="3">MAX(E3:J3)</f>
        <v>14811</v>
      </c>
      <c r="N3" s="5">
        <f t="shared" ref="N3:N5" si="4">F3/20</f>
        <v>513.155</v>
      </c>
      <c r="Q3" s="5" t="s">
        <v>11</v>
      </c>
      <c r="R3" s="5">
        <f>AICA1718_OCT_MAR!K3</f>
        <v>41960.3</v>
      </c>
      <c r="S3" s="5">
        <f>AICA1819_OCT_MAR!K3</f>
        <v>35413</v>
      </c>
      <c r="T3" s="8">
        <f>AICA1920_OCT_MAR!K3</f>
        <v>29781.7</v>
      </c>
      <c r="U3" s="5">
        <f t="shared" ref="U3:U6" si="5">K3</f>
        <v>35412.6</v>
      </c>
      <c r="V3" s="8">
        <f t="shared" ref="V3:V6" si="6">AVERAGE(R3:U3)</f>
        <v>35641.9</v>
      </c>
    </row>
    <row r="4" ht="14.25" customHeight="1">
      <c r="B4" s="5" t="s">
        <v>12</v>
      </c>
      <c r="C4" s="3">
        <v>33.0</v>
      </c>
      <c r="D4" s="6"/>
      <c r="E4" s="5">
        <v>2007.1</v>
      </c>
      <c r="F4" s="5">
        <v>14125.4</v>
      </c>
      <c r="G4" s="5">
        <v>7090.5</v>
      </c>
      <c r="H4" s="8">
        <v>2580.0</v>
      </c>
      <c r="I4" s="5">
        <v>2115.2</v>
      </c>
      <c r="J4" s="5">
        <v>815.5</v>
      </c>
      <c r="K4" s="5">
        <f t="shared" si="1"/>
        <v>28733.7</v>
      </c>
      <c r="L4" s="7">
        <f t="shared" si="2"/>
        <v>870.7181818</v>
      </c>
      <c r="M4" s="5">
        <f t="shared" si="3"/>
        <v>14125.4</v>
      </c>
      <c r="N4" s="5">
        <f t="shared" si="4"/>
        <v>706.27</v>
      </c>
      <c r="Q4" s="5" t="s">
        <v>12</v>
      </c>
      <c r="R4" s="5">
        <f>AICA1718_OCT_MAR!K4</f>
        <v>35719.3</v>
      </c>
      <c r="S4" s="5">
        <f>AICA1819_OCT_MAR!K4</f>
        <v>6619.6</v>
      </c>
      <c r="T4" s="8">
        <f>AICA1920_OCT_MAR!K4</f>
        <v>28355.5</v>
      </c>
      <c r="U4" s="5">
        <f t="shared" si="5"/>
        <v>28733.7</v>
      </c>
      <c r="V4" s="8">
        <f t="shared" si="6"/>
        <v>24857.025</v>
      </c>
    </row>
    <row r="5" ht="14.25" customHeight="1">
      <c r="B5" s="5" t="s">
        <v>13</v>
      </c>
      <c r="C5" s="3">
        <v>41.0</v>
      </c>
      <c r="D5" s="6"/>
      <c r="E5" s="5">
        <v>3723.3</v>
      </c>
      <c r="F5" s="5">
        <v>18991.8</v>
      </c>
      <c r="G5" s="5">
        <v>14311.8</v>
      </c>
      <c r="H5" s="5">
        <v>1646.9</v>
      </c>
      <c r="I5" s="5">
        <v>37.4</v>
      </c>
      <c r="J5" s="5">
        <v>303.0</v>
      </c>
      <c r="K5" s="5">
        <f t="shared" si="1"/>
        <v>39014.2</v>
      </c>
      <c r="L5" s="7">
        <f t="shared" si="2"/>
        <v>951.5658537</v>
      </c>
      <c r="M5" s="5">
        <f t="shared" si="3"/>
        <v>18991.8</v>
      </c>
      <c r="N5" s="5">
        <f t="shared" si="4"/>
        <v>949.59</v>
      </c>
      <c r="Q5" s="5" t="s">
        <v>13</v>
      </c>
      <c r="R5" s="5">
        <f>AICA1718_OCT_MAR!K5</f>
        <v>43073.6</v>
      </c>
      <c r="S5" s="5">
        <f>AICA1819_OCT_MAR!K5</f>
        <v>33864.2</v>
      </c>
      <c r="T5" s="8">
        <f>AICA1920_OCT_MAR!K5</f>
        <v>31292.8</v>
      </c>
      <c r="U5" s="5">
        <f t="shared" si="5"/>
        <v>39014.2</v>
      </c>
      <c r="V5" s="8">
        <f t="shared" si="6"/>
        <v>36811.2</v>
      </c>
    </row>
    <row r="6" ht="14.25" customHeight="1">
      <c r="A6" s="9" t="s">
        <v>14</v>
      </c>
      <c r="B6" s="4"/>
      <c r="C6" s="17">
        <f>SUM(C3:C5)</f>
        <v>100</v>
      </c>
      <c r="D6" s="9"/>
      <c r="E6" s="4">
        <f t="shared" ref="E6:J6" si="7">SUM(E3:E5)</f>
        <v>6962.6</v>
      </c>
      <c r="F6" s="4">
        <f t="shared" si="7"/>
        <v>43380.3</v>
      </c>
      <c r="G6" s="14">
        <f t="shared" si="7"/>
        <v>36213.3</v>
      </c>
      <c r="H6" s="4">
        <f t="shared" si="7"/>
        <v>11646</v>
      </c>
      <c r="I6" s="4">
        <f t="shared" si="7"/>
        <v>3386.1</v>
      </c>
      <c r="J6" s="4">
        <f t="shared" si="7"/>
        <v>1572.2</v>
      </c>
      <c r="K6" s="4">
        <f t="shared" si="1"/>
        <v>103160.5</v>
      </c>
      <c r="L6" s="10">
        <f t="shared" si="2"/>
        <v>1031.605</v>
      </c>
      <c r="M6" s="4"/>
      <c r="N6" s="4"/>
      <c r="O6" s="4"/>
      <c r="P6" s="9" t="s">
        <v>14</v>
      </c>
      <c r="Q6" s="4"/>
      <c r="R6" s="4">
        <f>AICA1718_OCT_MAR!K6</f>
        <v>120753.2</v>
      </c>
      <c r="S6" s="4">
        <f>AICA1819_OCT_MAR!K6</f>
        <v>75896.8</v>
      </c>
      <c r="T6" s="14">
        <f>AICA1920_OCT_MAR!K6</f>
        <v>89430</v>
      </c>
      <c r="U6" s="4">
        <f t="shared" si="5"/>
        <v>103160.5</v>
      </c>
      <c r="V6" s="14">
        <f t="shared" si="6"/>
        <v>97310.125</v>
      </c>
      <c r="W6" s="4"/>
      <c r="X6" s="4"/>
      <c r="Y6" s="4"/>
      <c r="Z6" s="4"/>
    </row>
    <row r="7" ht="14.25" customHeight="1">
      <c r="A7" s="9"/>
      <c r="B7" s="4"/>
      <c r="C7" s="9"/>
      <c r="D7" s="9"/>
      <c r="E7" s="4"/>
      <c r="F7" s="4"/>
      <c r="G7" s="4"/>
      <c r="H7" s="4"/>
      <c r="I7" s="4"/>
      <c r="J7" s="4"/>
      <c r="K7" s="4"/>
      <c r="L7" s="1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4" t="s">
        <v>15</v>
      </c>
      <c r="B8" s="9"/>
      <c r="C8" s="9"/>
      <c r="D8" s="9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6"/>
      <c r="B9" s="5" t="s">
        <v>11</v>
      </c>
      <c r="E9" s="6">
        <v>16.34</v>
      </c>
      <c r="F9" s="6">
        <v>18.24</v>
      </c>
      <c r="G9" s="6">
        <v>20.37</v>
      </c>
      <c r="H9" s="6">
        <v>23.02</v>
      </c>
      <c r="I9" s="6">
        <v>25.64</v>
      </c>
      <c r="J9" s="6">
        <v>28.32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4.25" customHeight="1">
      <c r="A10" s="6"/>
      <c r="B10" s="5" t="s">
        <v>12</v>
      </c>
      <c r="E10" s="6">
        <v>16.78</v>
      </c>
      <c r="F10" s="6">
        <v>16.78</v>
      </c>
      <c r="G10" s="6">
        <v>20.32</v>
      </c>
      <c r="H10" s="6">
        <v>24.81</v>
      </c>
      <c r="I10" s="6">
        <v>28.02</v>
      </c>
      <c r="J10" s="6">
        <v>29.21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4.25" customHeight="1">
      <c r="A11" s="6"/>
      <c r="B11" s="5" t="s">
        <v>13</v>
      </c>
      <c r="E11" s="6">
        <v>18.28</v>
      </c>
      <c r="F11" s="6">
        <v>17.91</v>
      </c>
      <c r="G11" s="6">
        <v>19.74</v>
      </c>
      <c r="H11" s="6">
        <v>18.64</v>
      </c>
      <c r="I11" s="6">
        <v>26.44</v>
      </c>
      <c r="J11" s="6">
        <v>24.46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4.25" customHeight="1">
      <c r="A12" s="4"/>
      <c r="B12" s="9" t="s">
        <v>14</v>
      </c>
      <c r="C12" s="9"/>
      <c r="D12" s="9"/>
      <c r="E12" s="4">
        <v>17.19</v>
      </c>
      <c r="F12" s="4">
        <v>17.65</v>
      </c>
      <c r="G12" s="4">
        <v>20.15</v>
      </c>
      <c r="H12" s="4">
        <v>22.97</v>
      </c>
      <c r="I12" s="4">
        <v>27.36</v>
      </c>
      <c r="J12" s="4">
        <v>28.26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4"/>
      <c r="B13" s="9"/>
      <c r="C13" s="9"/>
      <c r="D13" s="9"/>
      <c r="E13" s="4"/>
      <c r="F13" s="4"/>
      <c r="G13" s="4"/>
      <c r="H13" s="4"/>
      <c r="I13" s="4"/>
      <c r="J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1" t="s">
        <v>16</v>
      </c>
      <c r="B14" s="9"/>
      <c r="C14" s="2" t="s">
        <v>1</v>
      </c>
      <c r="D14" s="2"/>
      <c r="E14" s="4"/>
      <c r="F14" s="4"/>
      <c r="G14" s="4"/>
      <c r="H14" s="4"/>
      <c r="I14" s="4"/>
      <c r="J14" s="4"/>
      <c r="K14" s="2" t="s">
        <v>9</v>
      </c>
      <c r="L14" s="2" t="s">
        <v>10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6"/>
      <c r="B15" s="6" t="s">
        <v>11</v>
      </c>
      <c r="C15" s="6">
        <v>26.0</v>
      </c>
      <c r="D15" s="6"/>
      <c r="E15" s="8">
        <f t="shared" ref="E15:J15" si="8">E3*E9/100</f>
        <v>201.34148</v>
      </c>
      <c r="F15" s="8">
        <f t="shared" si="8"/>
        <v>1871.98944</v>
      </c>
      <c r="G15" s="8">
        <f t="shared" si="8"/>
        <v>3017.0007</v>
      </c>
      <c r="H15" s="8">
        <f t="shared" si="8"/>
        <v>1707.87682</v>
      </c>
      <c r="I15" s="8">
        <f t="shared" si="8"/>
        <v>316.2694</v>
      </c>
      <c r="J15" s="8">
        <f t="shared" si="8"/>
        <v>128.48784</v>
      </c>
      <c r="K15" s="8">
        <f t="shared" ref="K15:K18" si="10">SUM(E15:J15)</f>
        <v>7242.96568</v>
      </c>
      <c r="L15" s="7">
        <f t="shared" ref="L15:L18" si="11">K15/C15</f>
        <v>278.5756031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6"/>
      <c r="B16" s="6" t="s">
        <v>12</v>
      </c>
      <c r="C16" s="6">
        <v>33.0</v>
      </c>
      <c r="D16" s="6"/>
      <c r="E16" s="8">
        <f t="shared" ref="E16:J16" si="9">E4*E10/100</f>
        <v>336.79138</v>
      </c>
      <c r="F16" s="8">
        <f t="shared" si="9"/>
        <v>2370.24212</v>
      </c>
      <c r="G16" s="8">
        <f t="shared" si="9"/>
        <v>1440.7896</v>
      </c>
      <c r="H16" s="8">
        <f t="shared" si="9"/>
        <v>640.098</v>
      </c>
      <c r="I16" s="8">
        <f t="shared" si="9"/>
        <v>592.67904</v>
      </c>
      <c r="J16" s="8">
        <f t="shared" si="9"/>
        <v>238.20755</v>
      </c>
      <c r="K16" s="8">
        <f t="shared" si="10"/>
        <v>5618.80769</v>
      </c>
      <c r="L16" s="7">
        <f t="shared" si="11"/>
        <v>170.2668997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4.25" customHeight="1">
      <c r="A17" s="6"/>
      <c r="B17" s="6" t="s">
        <v>13</v>
      </c>
      <c r="C17" s="6">
        <v>41.0</v>
      </c>
      <c r="D17" s="6"/>
      <c r="E17" s="8">
        <f t="shared" ref="E17:J17" si="12">E5*E11/100</f>
        <v>680.61924</v>
      </c>
      <c r="F17" s="8">
        <f t="shared" si="12"/>
        <v>3401.43138</v>
      </c>
      <c r="G17" s="8">
        <f t="shared" si="12"/>
        <v>2825.14932</v>
      </c>
      <c r="H17" s="8">
        <f t="shared" si="12"/>
        <v>306.98216</v>
      </c>
      <c r="I17" s="8">
        <f t="shared" si="12"/>
        <v>9.88856</v>
      </c>
      <c r="J17" s="8">
        <f t="shared" si="12"/>
        <v>74.1138</v>
      </c>
      <c r="K17" s="8">
        <f t="shared" si="10"/>
        <v>7298.18446</v>
      </c>
      <c r="L17" s="7">
        <f t="shared" si="11"/>
        <v>178.004499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4.25" customHeight="1">
      <c r="A18" s="9" t="s">
        <v>14</v>
      </c>
      <c r="B18" s="4"/>
      <c r="C18" s="9">
        <f>SUM(C15:C17)</f>
        <v>100</v>
      </c>
      <c r="D18" s="9"/>
      <c r="E18" s="14">
        <f t="shared" ref="E18:J18" si="13">E6*E12/100</f>
        <v>1196.87094</v>
      </c>
      <c r="F18" s="14">
        <f t="shared" si="13"/>
        <v>7656.62295</v>
      </c>
      <c r="G18" s="14">
        <f t="shared" si="13"/>
        <v>7296.97995</v>
      </c>
      <c r="H18" s="14">
        <f t="shared" si="13"/>
        <v>2675.0862</v>
      </c>
      <c r="I18" s="14">
        <f t="shared" si="13"/>
        <v>926.43696</v>
      </c>
      <c r="J18" s="14">
        <f t="shared" si="13"/>
        <v>444.30372</v>
      </c>
      <c r="K18" s="14">
        <f t="shared" si="10"/>
        <v>20196.30072</v>
      </c>
      <c r="L18" s="10">
        <f t="shared" si="11"/>
        <v>201.9630072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6"/>
      <c r="B19" s="15"/>
      <c r="C19" s="15"/>
      <c r="D19" s="15"/>
      <c r="E19" s="8"/>
      <c r="F19" s="8"/>
      <c r="G19" s="8"/>
      <c r="H19" s="8"/>
      <c r="I19" s="8"/>
      <c r="J19" s="8"/>
      <c r="K19" s="8"/>
      <c r="L19" s="7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4.25" customHeight="1">
      <c r="A20" s="4" t="s">
        <v>17</v>
      </c>
      <c r="B20" s="15"/>
      <c r="C20" s="2" t="s">
        <v>1</v>
      </c>
      <c r="D20" s="2"/>
      <c r="E20" s="4"/>
      <c r="F20" s="4"/>
      <c r="G20" s="4"/>
      <c r="H20" s="4"/>
      <c r="I20" s="4"/>
      <c r="J20" s="4"/>
      <c r="K20" s="2" t="s">
        <v>9</v>
      </c>
      <c r="L20" s="2" t="s">
        <v>10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4.25" customHeight="1">
      <c r="A21" s="6"/>
      <c r="B21" s="6" t="s">
        <v>11</v>
      </c>
      <c r="C21" s="6">
        <v>26.0</v>
      </c>
      <c r="D21" s="6"/>
      <c r="E21" s="8">
        <f t="shared" ref="E21:J21" si="14">E3-E15</f>
        <v>1030.85852</v>
      </c>
      <c r="F21" s="8">
        <f t="shared" si="14"/>
        <v>8391.11056</v>
      </c>
      <c r="G21" s="8">
        <f t="shared" si="14"/>
        <v>11793.9993</v>
      </c>
      <c r="H21" s="8">
        <f t="shared" si="14"/>
        <v>5711.22318</v>
      </c>
      <c r="I21" s="8">
        <f t="shared" si="14"/>
        <v>917.2306</v>
      </c>
      <c r="J21" s="8">
        <f t="shared" si="14"/>
        <v>325.21216</v>
      </c>
      <c r="K21" s="8">
        <f t="shared" ref="K21:K24" si="16">SUM(E21:J21)</f>
        <v>28169.63432</v>
      </c>
      <c r="L21" s="7">
        <f t="shared" ref="L21:L24" si="17">K21/C21</f>
        <v>1083.447474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4.25" customHeight="1">
      <c r="A22" s="6"/>
      <c r="B22" s="6" t="s">
        <v>12</v>
      </c>
      <c r="C22" s="6">
        <v>33.0</v>
      </c>
      <c r="D22" s="6"/>
      <c r="E22" s="8">
        <f t="shared" ref="E22:J22" si="15">E4-E16</f>
        <v>1670.30862</v>
      </c>
      <c r="F22" s="8">
        <f t="shared" si="15"/>
        <v>11755.15788</v>
      </c>
      <c r="G22" s="8">
        <f t="shared" si="15"/>
        <v>5649.7104</v>
      </c>
      <c r="H22" s="8">
        <f t="shared" si="15"/>
        <v>1939.902</v>
      </c>
      <c r="I22" s="8">
        <f t="shared" si="15"/>
        <v>1522.52096</v>
      </c>
      <c r="J22" s="8">
        <f t="shared" si="15"/>
        <v>577.29245</v>
      </c>
      <c r="K22" s="8">
        <f t="shared" si="16"/>
        <v>23114.89231</v>
      </c>
      <c r="L22" s="7">
        <f t="shared" si="17"/>
        <v>700.4512821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4.25" customHeight="1">
      <c r="A23" s="6"/>
      <c r="B23" s="6" t="s">
        <v>13</v>
      </c>
      <c r="C23" s="6">
        <v>41.0</v>
      </c>
      <c r="D23" s="6"/>
      <c r="E23" s="8">
        <f t="shared" ref="E23:J23" si="18">E5-E17</f>
        <v>3042.68076</v>
      </c>
      <c r="F23" s="8">
        <f t="shared" si="18"/>
        <v>15590.36862</v>
      </c>
      <c r="G23" s="8">
        <f t="shared" si="18"/>
        <v>11486.65068</v>
      </c>
      <c r="H23" s="8">
        <f t="shared" si="18"/>
        <v>1339.91784</v>
      </c>
      <c r="I23" s="8">
        <f t="shared" si="18"/>
        <v>27.51144</v>
      </c>
      <c r="J23" s="8">
        <f t="shared" si="18"/>
        <v>228.8862</v>
      </c>
      <c r="K23" s="8">
        <f t="shared" si="16"/>
        <v>31716.01554</v>
      </c>
      <c r="L23" s="7">
        <f t="shared" si="17"/>
        <v>773.5613546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4.25" customHeight="1">
      <c r="A24" s="9" t="s">
        <v>14</v>
      </c>
      <c r="B24" s="4"/>
      <c r="C24" s="9">
        <f>SUM(C21:C23)</f>
        <v>100</v>
      </c>
      <c r="D24" s="9"/>
      <c r="E24" s="14">
        <f t="shared" ref="E24:J24" si="19">E6-E18</f>
        <v>5765.72906</v>
      </c>
      <c r="F24" s="14">
        <f t="shared" si="19"/>
        <v>35723.67705</v>
      </c>
      <c r="G24" s="14">
        <f t="shared" si="19"/>
        <v>28916.32005</v>
      </c>
      <c r="H24" s="14">
        <f t="shared" si="19"/>
        <v>8970.9138</v>
      </c>
      <c r="I24" s="14">
        <f t="shared" si="19"/>
        <v>2459.66304</v>
      </c>
      <c r="J24" s="14">
        <f t="shared" si="19"/>
        <v>1127.89628</v>
      </c>
      <c r="K24" s="14">
        <f t="shared" si="16"/>
        <v>82964.19928</v>
      </c>
      <c r="L24" s="10">
        <f t="shared" si="17"/>
        <v>829.6419928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/>
      <c r="B25" s="15"/>
      <c r="C25" s="15"/>
      <c r="D25" s="15"/>
      <c r="E25" s="14"/>
      <c r="F25" s="14"/>
      <c r="G25" s="14"/>
      <c r="H25" s="14"/>
      <c r="I25" s="14"/>
      <c r="J25" s="14"/>
      <c r="K25" s="8"/>
      <c r="L25" s="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4"/>
    </row>
    <row r="27" ht="14.25" customHeight="1"/>
    <row r="28" ht="14.25" customHeight="1"/>
    <row r="29" ht="14.25" customHeight="1"/>
    <row r="30" ht="14.25" customHeight="1">
      <c r="A30" s="4"/>
      <c r="B30" s="9"/>
      <c r="C30" s="9"/>
      <c r="D30" s="9"/>
      <c r="E30" s="4"/>
      <c r="F30" s="4"/>
      <c r="G30" s="4"/>
      <c r="H30" s="4"/>
      <c r="I30" s="4"/>
      <c r="J30" s="4"/>
      <c r="K30" s="8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/>
    <row r="32" ht="14.25" customHeight="1">
      <c r="E32" s="16"/>
      <c r="F32" s="16"/>
      <c r="G32" s="16"/>
      <c r="H32" s="16"/>
      <c r="I32" s="16"/>
      <c r="J32" s="16"/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52" width="10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10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>
      <c r="F13" s="5" t="s">
        <v>24</v>
      </c>
      <c r="Q13" s="5" t="s">
        <v>24</v>
      </c>
    </row>
    <row r="14" ht="14.25" customHeight="1">
      <c r="F14" s="5">
        <f>0.16*B19</f>
        <v>160</v>
      </c>
      <c r="Q14" s="5">
        <f>0.16*M19</f>
        <v>160</v>
      </c>
    </row>
    <row r="15" ht="14.25" customHeight="1"/>
    <row r="16" ht="14.25" customHeight="1"/>
    <row r="17" ht="14.25" customHeight="1">
      <c r="I17" s="5" t="s">
        <v>25</v>
      </c>
      <c r="J17" s="5">
        <f>0.8*B19+F14-F25</f>
        <v>870</v>
      </c>
      <c r="S17" s="5" t="s">
        <v>26</v>
      </c>
      <c r="U17" s="19">
        <f>0.8*M19+Q14-Q25-U19</f>
        <v>800</v>
      </c>
    </row>
    <row r="18" ht="14.25" customHeight="1"/>
    <row r="19" ht="14.25" customHeight="1">
      <c r="A19" s="5" t="s">
        <v>27</v>
      </c>
      <c r="B19" s="5">
        <v>1000.0</v>
      </c>
      <c r="L19" s="5" t="s">
        <v>27</v>
      </c>
      <c r="M19" s="5">
        <v>1000.0</v>
      </c>
      <c r="S19" s="5" t="s">
        <v>28</v>
      </c>
      <c r="U19" s="20">
        <f>0.07*B19</f>
        <v>70</v>
      </c>
    </row>
    <row r="20" ht="14.25" customHeight="1"/>
    <row r="21" ht="14.25" customHeight="1"/>
    <row r="22" ht="14.25" customHeight="1">
      <c r="I22" s="5" t="s">
        <v>29</v>
      </c>
      <c r="J22" s="5">
        <f>0.2*B19</f>
        <v>200</v>
      </c>
      <c r="S22" s="5" t="s">
        <v>29</v>
      </c>
      <c r="U22" s="5">
        <f>0.2*M19</f>
        <v>200</v>
      </c>
    </row>
    <row r="23" ht="14.25" customHeight="1"/>
    <row r="24" ht="14.25" customHeight="1">
      <c r="F24" s="5" t="s">
        <v>30</v>
      </c>
      <c r="Q24" s="5" t="s">
        <v>30</v>
      </c>
    </row>
    <row r="25" ht="14.25" customHeight="1">
      <c r="F25" s="5">
        <f>0.09*B19</f>
        <v>90</v>
      </c>
      <c r="Q25" s="5">
        <f>0.09*M19</f>
        <v>90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3.43"/>
    <col customWidth="1" min="2" max="2" width="19.86"/>
    <col customWidth="1" min="3" max="3" width="13.14"/>
    <col customWidth="1" min="4" max="4" width="11.86"/>
    <col customWidth="1" min="5" max="5" width="13.14"/>
    <col customWidth="1" min="6" max="10" width="10.71"/>
    <col customWidth="1" min="11" max="12" width="17.29"/>
    <col customWidth="1" min="13" max="26" width="10.71"/>
  </cols>
  <sheetData>
    <row r="1" ht="14.25" customHeight="1">
      <c r="A1" s="21" t="s">
        <v>23</v>
      </c>
      <c r="B1" s="22"/>
      <c r="C1" s="23" t="s">
        <v>31</v>
      </c>
      <c r="D1" s="24" t="s">
        <v>32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14.25" customHeight="1">
      <c r="A3" s="25" t="s">
        <v>0</v>
      </c>
      <c r="B3" s="26"/>
      <c r="C3" s="27" t="s">
        <v>33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28" t="s">
        <v>7</v>
      </c>
      <c r="J3" s="28"/>
      <c r="K3" s="27" t="s">
        <v>9</v>
      </c>
      <c r="L3" s="27" t="s">
        <v>10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B5" s="15" t="s">
        <v>11</v>
      </c>
      <c r="C5" s="29">
        <v>26.0</v>
      </c>
      <c r="D5" s="30">
        <v>1232.2</v>
      </c>
      <c r="E5" s="30">
        <v>10263.1</v>
      </c>
      <c r="F5" s="31">
        <v>14811.0</v>
      </c>
      <c r="G5" s="30">
        <v>7419.1</v>
      </c>
      <c r="H5" s="30">
        <v>1233.5</v>
      </c>
      <c r="I5" s="32">
        <v>453.7</v>
      </c>
      <c r="J5" s="6"/>
      <c r="K5" s="5">
        <f t="shared" ref="K5:K7" si="1">SUM(D5:I5)</f>
        <v>35412.6</v>
      </c>
      <c r="L5" s="7">
        <f t="shared" ref="L5:L7" si="2">K5/C5</f>
        <v>1362.023077</v>
      </c>
    </row>
    <row r="6" ht="14.25" customHeight="1">
      <c r="B6" s="15" t="s">
        <v>12</v>
      </c>
      <c r="C6" s="33">
        <v>33.0</v>
      </c>
      <c r="D6" s="6">
        <v>2007.1</v>
      </c>
      <c r="E6" s="6">
        <v>14125.4</v>
      </c>
      <c r="F6" s="6">
        <v>7090.5</v>
      </c>
      <c r="G6" s="8">
        <v>2580.0</v>
      </c>
      <c r="H6" s="6">
        <v>2115.2</v>
      </c>
      <c r="I6" s="34">
        <v>815.5</v>
      </c>
      <c r="J6" s="6"/>
      <c r="K6" s="5">
        <f t="shared" si="1"/>
        <v>28733.7</v>
      </c>
      <c r="L6" s="7">
        <f t="shared" si="2"/>
        <v>870.7181818</v>
      </c>
    </row>
    <row r="7" ht="14.25" customHeight="1">
      <c r="B7" s="15" t="s">
        <v>13</v>
      </c>
      <c r="C7" s="35">
        <v>41.0</v>
      </c>
      <c r="D7" s="36">
        <v>3723.3</v>
      </c>
      <c r="E7" s="36">
        <v>18991.8</v>
      </c>
      <c r="F7" s="36">
        <v>14311.8</v>
      </c>
      <c r="G7" s="36">
        <v>1646.9</v>
      </c>
      <c r="H7" s="36">
        <v>37.4</v>
      </c>
      <c r="I7" s="37">
        <v>303.0</v>
      </c>
      <c r="J7" s="6"/>
      <c r="K7" s="5">
        <f t="shared" si="1"/>
        <v>39014.2</v>
      </c>
      <c r="L7" s="7">
        <f t="shared" si="2"/>
        <v>951.5658537</v>
      </c>
    </row>
    <row r="8" ht="14.25" customHeight="1">
      <c r="A8" s="38"/>
      <c r="B8" s="39" t="s">
        <v>34</v>
      </c>
      <c r="C8" s="40">
        <f>SUM(C5:C7)</f>
        <v>100</v>
      </c>
      <c r="D8" s="38"/>
      <c r="E8" s="38"/>
      <c r="F8" s="38"/>
      <c r="G8" s="38"/>
      <c r="H8" s="38"/>
      <c r="I8" s="38"/>
      <c r="J8" s="38"/>
      <c r="K8" s="38"/>
      <c r="L8" s="41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4.25" customHeight="1">
      <c r="C9" s="6"/>
      <c r="L9" s="7"/>
    </row>
    <row r="10" ht="14.25" customHeight="1">
      <c r="A10" s="4"/>
      <c r="B10" s="4"/>
      <c r="C10" s="9" t="s">
        <v>14</v>
      </c>
      <c r="D10" s="4">
        <f t="shared" ref="D10:I10" si="3">SUM(D5:D7)</f>
        <v>6962.6</v>
      </c>
      <c r="E10" s="4">
        <f t="shared" si="3"/>
        <v>43380.3</v>
      </c>
      <c r="F10" s="14">
        <f t="shared" si="3"/>
        <v>36213.3</v>
      </c>
      <c r="G10" s="4">
        <f t="shared" si="3"/>
        <v>11646</v>
      </c>
      <c r="H10" s="4">
        <f t="shared" si="3"/>
        <v>3386.1</v>
      </c>
      <c r="I10" s="4">
        <f t="shared" si="3"/>
        <v>1572.2</v>
      </c>
      <c r="J10" s="4"/>
      <c r="K10" s="4">
        <f>SUM(D10:I10)</f>
        <v>103160.5</v>
      </c>
      <c r="L10" s="10">
        <f>K10/C8</f>
        <v>1031.605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4"/>
      <c r="B11" s="4"/>
      <c r="C11" s="42" t="s">
        <v>35</v>
      </c>
      <c r="D11" s="43">
        <f t="shared" ref="D11:I11" si="4">D10/$C$8</f>
        <v>69.626</v>
      </c>
      <c r="E11" s="43">
        <f t="shared" si="4"/>
        <v>433.803</v>
      </c>
      <c r="F11" s="43">
        <f t="shared" si="4"/>
        <v>362.133</v>
      </c>
      <c r="G11" s="43">
        <f t="shared" si="4"/>
        <v>116.46</v>
      </c>
      <c r="H11" s="43">
        <f t="shared" si="4"/>
        <v>33.861</v>
      </c>
      <c r="I11" s="44">
        <f t="shared" si="4"/>
        <v>15.722</v>
      </c>
      <c r="J11" s="4"/>
      <c r="K11" s="4"/>
      <c r="L11" s="1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9"/>
      <c r="B12" s="4"/>
      <c r="C12" s="9"/>
      <c r="D12" s="45"/>
      <c r="E12" s="45"/>
      <c r="F12" s="45"/>
      <c r="G12" s="45"/>
      <c r="H12" s="45"/>
      <c r="I12" s="45"/>
      <c r="J12" s="45"/>
      <c r="K12" s="4"/>
      <c r="L12" s="10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46" t="s">
        <v>15</v>
      </c>
      <c r="B13" s="47"/>
      <c r="C13" s="47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ht="14.25" customHeight="1">
      <c r="A14" s="46"/>
      <c r="B14" s="47"/>
      <c r="C14" s="47"/>
      <c r="D14" s="28" t="s">
        <v>2</v>
      </c>
      <c r="E14" s="28" t="s">
        <v>3</v>
      </c>
      <c r="F14" s="28" t="s">
        <v>4</v>
      </c>
      <c r="G14" s="28" t="s">
        <v>5</v>
      </c>
      <c r="H14" s="28" t="s">
        <v>6</v>
      </c>
      <c r="I14" s="28" t="s">
        <v>7</v>
      </c>
      <c r="J14" s="28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ht="14.25" customHeight="1">
      <c r="A15" s="6"/>
      <c r="B15" s="15" t="s">
        <v>11</v>
      </c>
      <c r="D15" s="48">
        <v>16.34</v>
      </c>
      <c r="E15" s="30">
        <v>18.24</v>
      </c>
      <c r="F15" s="30">
        <v>20.37</v>
      </c>
      <c r="G15" s="30">
        <v>23.02</v>
      </c>
      <c r="H15" s="30">
        <v>25.64</v>
      </c>
      <c r="I15" s="32">
        <v>28.32</v>
      </c>
      <c r="J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6"/>
      <c r="B16" s="15" t="s">
        <v>12</v>
      </c>
      <c r="D16" s="49">
        <v>16.78</v>
      </c>
      <c r="E16" s="6">
        <v>16.78</v>
      </c>
      <c r="F16" s="6">
        <v>20.32</v>
      </c>
      <c r="G16" s="6">
        <v>24.81</v>
      </c>
      <c r="H16" s="6">
        <v>28.02</v>
      </c>
      <c r="I16" s="34">
        <v>29.21</v>
      </c>
      <c r="J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4.25" customHeight="1">
      <c r="A17" s="6"/>
      <c r="B17" s="15" t="s">
        <v>13</v>
      </c>
      <c r="D17" s="50">
        <v>18.28</v>
      </c>
      <c r="E17" s="36">
        <v>17.91</v>
      </c>
      <c r="F17" s="36">
        <v>19.74</v>
      </c>
      <c r="G17" s="36">
        <v>18.64</v>
      </c>
      <c r="H17" s="36">
        <v>26.44</v>
      </c>
      <c r="I17" s="37">
        <v>24.46</v>
      </c>
      <c r="J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4.25" customHeight="1">
      <c r="A18" s="4"/>
      <c r="B18" s="9"/>
      <c r="C18" s="42" t="s">
        <v>35</v>
      </c>
      <c r="D18" s="51">
        <v>17.19</v>
      </c>
      <c r="E18" s="52">
        <v>17.65</v>
      </c>
      <c r="F18" s="51">
        <v>20.15</v>
      </c>
      <c r="G18" s="51">
        <v>22.97</v>
      </c>
      <c r="H18" s="51">
        <v>27.36</v>
      </c>
      <c r="I18" s="53">
        <v>28.26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4"/>
      <c r="B19" s="9"/>
      <c r="C19" s="9"/>
      <c r="D19" s="4"/>
      <c r="E19" s="4"/>
      <c r="F19" s="4"/>
      <c r="G19" s="4"/>
      <c r="H19" s="4"/>
      <c r="I19" s="4"/>
      <c r="J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25" t="s">
        <v>16</v>
      </c>
      <c r="B20" s="47"/>
      <c r="C20" s="27" t="s">
        <v>33</v>
      </c>
      <c r="D20" s="28" t="s">
        <v>2</v>
      </c>
      <c r="E20" s="28" t="s">
        <v>3</v>
      </c>
      <c r="F20" s="28" t="s">
        <v>4</v>
      </c>
      <c r="G20" s="28" t="s">
        <v>5</v>
      </c>
      <c r="H20" s="28" t="s">
        <v>6</v>
      </c>
      <c r="I20" s="28" t="s">
        <v>7</v>
      </c>
      <c r="J20" s="28"/>
      <c r="K20" s="27" t="s">
        <v>9</v>
      </c>
      <c r="L20" s="27" t="s">
        <v>10</v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ht="14.25" customHeight="1">
      <c r="A21" s="26"/>
      <c r="B21" s="28" t="s">
        <v>11</v>
      </c>
      <c r="C21" s="54">
        <v>26.0</v>
      </c>
      <c r="D21" s="55">
        <f t="shared" ref="D21:I21" si="5">D5*D15/100</f>
        <v>201.34148</v>
      </c>
      <c r="E21" s="55">
        <f t="shared" si="5"/>
        <v>1871.98944</v>
      </c>
      <c r="F21" s="55">
        <f t="shared" si="5"/>
        <v>3017.0007</v>
      </c>
      <c r="G21" s="55">
        <f t="shared" si="5"/>
        <v>1707.87682</v>
      </c>
      <c r="H21" s="55">
        <f t="shared" si="5"/>
        <v>316.2694</v>
      </c>
      <c r="I21" s="55">
        <f t="shared" si="5"/>
        <v>128.48784</v>
      </c>
      <c r="J21" s="55"/>
      <c r="K21" s="55">
        <f t="shared" ref="K21:K24" si="7">SUM(D21:I21)</f>
        <v>7242.96568</v>
      </c>
      <c r="L21" s="56">
        <f t="shared" ref="L21:L24" si="8">K21/C21</f>
        <v>278.5756031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14.25" customHeight="1">
      <c r="A22" s="26"/>
      <c r="B22" s="28" t="s">
        <v>12</v>
      </c>
      <c r="C22" s="54">
        <v>33.0</v>
      </c>
      <c r="D22" s="55">
        <f t="shared" ref="D22:I22" si="6">D6*D16/100</f>
        <v>336.79138</v>
      </c>
      <c r="E22" s="55">
        <f t="shared" si="6"/>
        <v>2370.24212</v>
      </c>
      <c r="F22" s="55">
        <f t="shared" si="6"/>
        <v>1440.7896</v>
      </c>
      <c r="G22" s="55">
        <f t="shared" si="6"/>
        <v>640.098</v>
      </c>
      <c r="H22" s="55">
        <f t="shared" si="6"/>
        <v>592.67904</v>
      </c>
      <c r="I22" s="55">
        <f t="shared" si="6"/>
        <v>238.20755</v>
      </c>
      <c r="J22" s="55"/>
      <c r="K22" s="55">
        <f t="shared" si="7"/>
        <v>5618.80769</v>
      </c>
      <c r="L22" s="56">
        <f t="shared" si="8"/>
        <v>170.2668997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4.25" customHeight="1">
      <c r="A23" s="26"/>
      <c r="B23" s="28" t="s">
        <v>13</v>
      </c>
      <c r="C23" s="54">
        <v>41.0</v>
      </c>
      <c r="D23" s="55">
        <f t="shared" ref="D23:I23" si="9">D7*D17/100</f>
        <v>680.61924</v>
      </c>
      <c r="E23" s="55">
        <f t="shared" si="9"/>
        <v>3401.43138</v>
      </c>
      <c r="F23" s="55">
        <f t="shared" si="9"/>
        <v>2825.14932</v>
      </c>
      <c r="G23" s="55">
        <f t="shared" si="9"/>
        <v>306.98216</v>
      </c>
      <c r="H23" s="55">
        <f t="shared" si="9"/>
        <v>9.88856</v>
      </c>
      <c r="I23" s="55">
        <f t="shared" si="9"/>
        <v>74.1138</v>
      </c>
      <c r="J23" s="55"/>
      <c r="K23" s="55">
        <f t="shared" si="7"/>
        <v>7298.18446</v>
      </c>
      <c r="L23" s="56">
        <f t="shared" si="8"/>
        <v>178.004499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4.25" customHeight="1">
      <c r="A24" s="57"/>
      <c r="B24" s="39" t="s">
        <v>34</v>
      </c>
      <c r="C24" s="40">
        <f>SUM(C21:C23)</f>
        <v>100</v>
      </c>
      <c r="D24" s="58">
        <f t="shared" ref="D24:I24" si="10">D10*D18/100</f>
        <v>1196.87094</v>
      </c>
      <c r="E24" s="58">
        <f t="shared" si="10"/>
        <v>7656.62295</v>
      </c>
      <c r="F24" s="58">
        <f t="shared" si="10"/>
        <v>7296.97995</v>
      </c>
      <c r="G24" s="58">
        <f t="shared" si="10"/>
        <v>2675.0862</v>
      </c>
      <c r="H24" s="58">
        <f t="shared" si="10"/>
        <v>926.43696</v>
      </c>
      <c r="I24" s="58">
        <f t="shared" si="10"/>
        <v>444.30372</v>
      </c>
      <c r="J24" s="58"/>
      <c r="K24" s="58">
        <f t="shared" si="7"/>
        <v>20196.30072</v>
      </c>
      <c r="L24" s="59">
        <f t="shared" si="8"/>
        <v>201.9630072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16.5" customHeight="1">
      <c r="A25" s="6"/>
      <c r="B25" s="15"/>
      <c r="C25" s="15"/>
      <c r="D25" s="8"/>
      <c r="E25" s="8"/>
      <c r="F25" s="8"/>
      <c r="G25" s="8"/>
      <c r="H25" s="8"/>
      <c r="I25" s="8"/>
      <c r="J25" s="8"/>
      <c r="K25" s="8"/>
      <c r="L25" s="7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33.75" customHeight="1">
      <c r="A26" s="60" t="s">
        <v>36</v>
      </c>
      <c r="B26" s="61" t="s">
        <v>37</v>
      </c>
      <c r="C26" s="27" t="s">
        <v>33</v>
      </c>
      <c r="D26" s="28" t="s">
        <v>2</v>
      </c>
      <c r="E26" s="28" t="s">
        <v>3</v>
      </c>
      <c r="F26" s="28" t="s">
        <v>4</v>
      </c>
      <c r="G26" s="28" t="s">
        <v>5</v>
      </c>
      <c r="H26" s="28" t="s">
        <v>6</v>
      </c>
      <c r="I26" s="28" t="s">
        <v>7</v>
      </c>
      <c r="J26" s="28"/>
      <c r="K26" s="27" t="s">
        <v>9</v>
      </c>
      <c r="L26" s="27" t="s">
        <v>10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14.25" customHeight="1">
      <c r="A27" s="26"/>
      <c r="B27" s="28" t="s">
        <v>11</v>
      </c>
      <c r="C27" s="54">
        <v>26.0</v>
      </c>
      <c r="D27" s="55">
        <f t="shared" ref="D27:I27" si="11">D5-D21</f>
        <v>1030.85852</v>
      </c>
      <c r="E27" s="55">
        <f t="shared" si="11"/>
        <v>8391.11056</v>
      </c>
      <c r="F27" s="55">
        <f t="shared" si="11"/>
        <v>11793.9993</v>
      </c>
      <c r="G27" s="55">
        <f t="shared" si="11"/>
        <v>5711.22318</v>
      </c>
      <c r="H27" s="55">
        <f t="shared" si="11"/>
        <v>917.2306</v>
      </c>
      <c r="I27" s="55">
        <f t="shared" si="11"/>
        <v>325.21216</v>
      </c>
      <c r="J27" s="55"/>
      <c r="K27" s="55">
        <f t="shared" ref="K27:K30" si="13">SUM(D27:I27)</f>
        <v>28169.63432</v>
      </c>
      <c r="L27" s="56">
        <f t="shared" ref="L27:L30" si="14">K27/C27</f>
        <v>1083.447474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4.25" customHeight="1">
      <c r="A28" s="26"/>
      <c r="B28" s="28" t="s">
        <v>12</v>
      </c>
      <c r="C28" s="54">
        <v>33.0</v>
      </c>
      <c r="D28" s="55">
        <f t="shared" ref="D28:I28" si="12">D6-D22</f>
        <v>1670.30862</v>
      </c>
      <c r="E28" s="55">
        <f t="shared" si="12"/>
        <v>11755.15788</v>
      </c>
      <c r="F28" s="55">
        <f t="shared" si="12"/>
        <v>5649.7104</v>
      </c>
      <c r="G28" s="55">
        <f t="shared" si="12"/>
        <v>1939.902</v>
      </c>
      <c r="H28" s="55">
        <f t="shared" si="12"/>
        <v>1522.52096</v>
      </c>
      <c r="I28" s="55">
        <f t="shared" si="12"/>
        <v>577.29245</v>
      </c>
      <c r="J28" s="55"/>
      <c r="K28" s="55">
        <f t="shared" si="13"/>
        <v>23114.89231</v>
      </c>
      <c r="L28" s="56">
        <f t="shared" si="14"/>
        <v>700.4512821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14.25" customHeight="1">
      <c r="A29" s="26"/>
      <c r="B29" s="28" t="s">
        <v>13</v>
      </c>
      <c r="C29" s="54">
        <v>41.0</v>
      </c>
      <c r="D29" s="55">
        <f t="shared" ref="D29:I29" si="15">D7-D23</f>
        <v>3042.68076</v>
      </c>
      <c r="E29" s="55">
        <f t="shared" si="15"/>
        <v>15590.36862</v>
      </c>
      <c r="F29" s="55">
        <f t="shared" si="15"/>
        <v>11486.65068</v>
      </c>
      <c r="G29" s="55">
        <f t="shared" si="15"/>
        <v>1339.91784</v>
      </c>
      <c r="H29" s="55">
        <f t="shared" si="15"/>
        <v>27.51144</v>
      </c>
      <c r="I29" s="55">
        <f t="shared" si="15"/>
        <v>228.8862</v>
      </c>
      <c r="J29" s="55"/>
      <c r="K29" s="55">
        <f t="shared" si="13"/>
        <v>31716.01554</v>
      </c>
      <c r="L29" s="56">
        <f t="shared" si="14"/>
        <v>773.5613546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14.25" customHeight="1">
      <c r="A30" s="57"/>
      <c r="B30" s="39" t="s">
        <v>34</v>
      </c>
      <c r="C30" s="40">
        <f>SUM(C27:C29)</f>
        <v>100</v>
      </c>
      <c r="D30" s="58">
        <f t="shared" ref="D30:I30" si="16">D10-D24</f>
        <v>5765.72906</v>
      </c>
      <c r="E30" s="58">
        <f t="shared" si="16"/>
        <v>35723.67705</v>
      </c>
      <c r="F30" s="58">
        <f t="shared" si="16"/>
        <v>28916.32005</v>
      </c>
      <c r="G30" s="58">
        <f t="shared" si="16"/>
        <v>8970.9138</v>
      </c>
      <c r="H30" s="58">
        <f t="shared" si="16"/>
        <v>2459.66304</v>
      </c>
      <c r="I30" s="58">
        <f t="shared" si="16"/>
        <v>1127.89628</v>
      </c>
      <c r="J30" s="58"/>
      <c r="K30" s="58">
        <f t="shared" si="13"/>
        <v>82964.19928</v>
      </c>
      <c r="L30" s="59">
        <f t="shared" si="14"/>
        <v>829.6419928</v>
      </c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4.25" customHeight="1">
      <c r="A31" s="4"/>
      <c r="B31" s="15"/>
      <c r="C31" s="15"/>
      <c r="D31" s="14"/>
      <c r="E31" s="14"/>
      <c r="F31" s="14"/>
      <c r="G31" s="14"/>
      <c r="H31" s="14"/>
      <c r="I31" s="14"/>
      <c r="J31" s="14"/>
      <c r="K31" s="8"/>
      <c r="L31" s="7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4"/>
    </row>
    <row r="33" ht="14.25" customHeight="1"/>
    <row r="34" ht="14.25" customHeight="1"/>
    <row r="35" ht="14.25" customHeight="1"/>
    <row r="36" ht="14.25" customHeight="1">
      <c r="A36" s="4"/>
      <c r="B36" s="9"/>
      <c r="C36" s="9"/>
      <c r="D36" s="4"/>
      <c r="E36" s="4"/>
      <c r="F36" s="4"/>
      <c r="G36" s="4"/>
      <c r="H36" s="4"/>
      <c r="I36" s="4"/>
      <c r="J36" s="4"/>
      <c r="K36" s="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/>
    <row r="38" ht="14.25" customHeight="1">
      <c r="D38" s="16"/>
      <c r="E38" s="16"/>
      <c r="F38" s="16"/>
      <c r="G38" s="16"/>
      <c r="H38" s="16"/>
      <c r="I38" s="16"/>
      <c r="J38" s="16"/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:id="rId1" ref="D1"/>
  </hyperlinks>
  <printOptions/>
  <pageMargins bottom="0.75" footer="0.0" header="0.0" left="0.7" right="0.7" top="0.75"/>
  <pageSetup paperSize="9" orientation="portrait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43"/>
    <col customWidth="1" min="2" max="2" width="24.29"/>
    <col customWidth="1" min="3" max="3" width="8.0"/>
    <col customWidth="1" min="4" max="4" width="12.29"/>
    <col customWidth="1" min="5" max="6" width="13.29"/>
    <col customWidth="1" min="7" max="8" width="12.29"/>
    <col customWidth="1" min="9" max="10" width="11.71"/>
    <col customWidth="1" min="11" max="11" width="17.29"/>
    <col customWidth="1" min="12" max="12" width="18.57"/>
    <col customWidth="1" min="13" max="26" width="10.71"/>
  </cols>
  <sheetData>
    <row r="1" ht="14.25" customHeight="1">
      <c r="A1" s="21" t="s">
        <v>38</v>
      </c>
      <c r="B1" s="23"/>
      <c r="C1" s="23"/>
      <c r="D1" s="23"/>
      <c r="E1" s="24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4.2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ht="14.25" customHeight="1">
      <c r="A3" s="25" t="s">
        <v>0</v>
      </c>
      <c r="B3" s="26"/>
      <c r="C3" s="26"/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28" t="s">
        <v>7</v>
      </c>
      <c r="J3" s="28"/>
      <c r="K3" s="27" t="s">
        <v>9</v>
      </c>
      <c r="L3" s="27" t="s">
        <v>39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ht="24.0" customHeight="1">
      <c r="A4" s="62" t="s">
        <v>40</v>
      </c>
      <c r="C4" s="4"/>
      <c r="D4" s="63">
        <f>SECTORIAL!D11</f>
        <v>69.626</v>
      </c>
      <c r="E4" s="64">
        <f>SECTORIAL!E11</f>
        <v>433.803</v>
      </c>
      <c r="F4" s="64">
        <f>SECTORIAL!F11</f>
        <v>362.133</v>
      </c>
      <c r="G4" s="64">
        <f>SECTORIAL!G11</f>
        <v>116.46</v>
      </c>
      <c r="H4" s="64">
        <f>SECTORIAL!H11</f>
        <v>33.861</v>
      </c>
      <c r="I4" s="65">
        <f>SECTORIAL!I11</f>
        <v>15.722</v>
      </c>
      <c r="J4" s="45"/>
      <c r="K4" s="66">
        <f>SUM(D4:I4)</f>
        <v>1031.605</v>
      </c>
      <c r="L4" s="66">
        <f>MAX(D4:I4)</f>
        <v>433.803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9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46" t="s">
        <v>41</v>
      </c>
      <c r="B6" s="47"/>
      <c r="C6" s="47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ht="14.25" customHeight="1">
      <c r="A7" s="46"/>
      <c r="B7" s="47"/>
      <c r="C7" s="47"/>
      <c r="D7" s="28" t="s">
        <v>2</v>
      </c>
      <c r="E7" s="28" t="s">
        <v>3</v>
      </c>
      <c r="F7" s="28" t="s">
        <v>4</v>
      </c>
      <c r="G7" s="28" t="s">
        <v>5</v>
      </c>
      <c r="H7" s="28" t="s">
        <v>6</v>
      </c>
      <c r="I7" s="28" t="s">
        <v>7</v>
      </c>
      <c r="J7" s="28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ht="22.5" customHeight="1">
      <c r="A8" s="62" t="s">
        <v>42</v>
      </c>
      <c r="C8" s="9"/>
      <c r="D8" s="67">
        <v>0.17</v>
      </c>
      <c r="E8" s="68">
        <v>0.17</v>
      </c>
      <c r="F8" s="68">
        <v>0.2</v>
      </c>
      <c r="G8" s="68">
        <v>0.23</v>
      </c>
      <c r="H8" s="68">
        <v>0.27</v>
      </c>
      <c r="I8" s="69">
        <v>0.28</v>
      </c>
      <c r="J8" s="70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4"/>
      <c r="B9" s="9"/>
      <c r="C9" s="9"/>
      <c r="D9" s="4"/>
      <c r="E9" s="4"/>
      <c r="F9" s="4"/>
      <c r="G9" s="4"/>
      <c r="H9" s="4"/>
      <c r="I9" s="4"/>
      <c r="J9" s="4"/>
      <c r="K9" s="9" t="s">
        <v>43</v>
      </c>
      <c r="L9" s="4" t="s">
        <v>44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25" t="s">
        <v>16</v>
      </c>
      <c r="B10" s="47"/>
      <c r="C10" s="47"/>
      <c r="D10" s="46"/>
      <c r="E10" s="46"/>
      <c r="F10" s="46"/>
      <c r="G10" s="46"/>
      <c r="H10" s="46"/>
      <c r="I10" s="46"/>
      <c r="J10" s="46"/>
      <c r="K10" s="71"/>
      <c r="L10" s="72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ht="16.5" customHeight="1">
      <c r="A11" s="25"/>
      <c r="B11" s="47"/>
      <c r="C11" s="47"/>
      <c r="D11" s="28" t="s">
        <v>2</v>
      </c>
      <c r="E11" s="28" t="s">
        <v>3</v>
      </c>
      <c r="F11" s="28" t="s">
        <v>4</v>
      </c>
      <c r="G11" s="28" t="s">
        <v>5</v>
      </c>
      <c r="H11" s="28" t="s">
        <v>6</v>
      </c>
      <c r="I11" s="28" t="s">
        <v>7</v>
      </c>
      <c r="J11" s="28"/>
      <c r="K11" s="73" t="s">
        <v>9</v>
      </c>
      <c r="L11" s="74" t="s">
        <v>39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ht="14.25" customHeight="1">
      <c r="A12" s="9"/>
      <c r="B12" s="4"/>
      <c r="C12" s="4"/>
      <c r="D12" s="75">
        <f t="shared" ref="D12:I12" si="1">D4*D8</f>
        <v>11.83642</v>
      </c>
      <c r="E12" s="76">
        <f t="shared" si="1"/>
        <v>73.74651</v>
      </c>
      <c r="F12" s="76">
        <f t="shared" si="1"/>
        <v>72.4266</v>
      </c>
      <c r="G12" s="76">
        <f t="shared" si="1"/>
        <v>26.7858</v>
      </c>
      <c r="H12" s="76">
        <f t="shared" si="1"/>
        <v>9.14247</v>
      </c>
      <c r="I12" s="77">
        <f t="shared" si="1"/>
        <v>4.40216</v>
      </c>
      <c r="J12" s="45"/>
      <c r="K12" s="78">
        <f>SUM(D12:I12)</f>
        <v>198.33996</v>
      </c>
      <c r="L12" s="79">
        <f>MAX(D12:I12)</f>
        <v>73.74651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9"/>
      <c r="B13" s="4"/>
      <c r="C13" s="4"/>
      <c r="D13" s="45"/>
      <c r="E13" s="45"/>
      <c r="F13" s="45"/>
      <c r="G13" s="45"/>
      <c r="H13" s="45"/>
      <c r="I13" s="45"/>
      <c r="J13" s="45"/>
      <c r="K13" s="80"/>
      <c r="L13" s="81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60" t="s">
        <v>36</v>
      </c>
      <c r="B14" s="61" t="s">
        <v>37</v>
      </c>
      <c r="C14" s="61"/>
      <c r="D14" s="55"/>
      <c r="E14" s="55"/>
      <c r="F14" s="55"/>
      <c r="G14" s="55"/>
      <c r="H14" s="55"/>
      <c r="I14" s="55"/>
      <c r="J14" s="55"/>
      <c r="K14" s="82"/>
      <c r="L14" s="83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5.75" customHeight="1">
      <c r="A15" s="26"/>
      <c r="B15" s="28"/>
      <c r="C15" s="28"/>
      <c r="D15" s="28" t="s">
        <v>2</v>
      </c>
      <c r="E15" s="28" t="s">
        <v>3</v>
      </c>
      <c r="F15" s="28" t="s">
        <v>4</v>
      </c>
      <c r="G15" s="28" t="s">
        <v>5</v>
      </c>
      <c r="H15" s="28" t="s">
        <v>6</v>
      </c>
      <c r="I15" s="28" t="s">
        <v>7</v>
      </c>
      <c r="J15" s="28"/>
      <c r="K15" s="73" t="s">
        <v>9</v>
      </c>
      <c r="L15" s="74" t="s">
        <v>39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4.25" customHeight="1">
      <c r="A16" s="9" t="s">
        <v>14</v>
      </c>
      <c r="B16" s="4"/>
      <c r="C16" s="4"/>
      <c r="D16" s="75">
        <f t="shared" ref="D16:I16" si="2">D4-D12</f>
        <v>57.78958</v>
      </c>
      <c r="E16" s="76">
        <f t="shared" si="2"/>
        <v>360.05649</v>
      </c>
      <c r="F16" s="76">
        <f t="shared" si="2"/>
        <v>289.7064</v>
      </c>
      <c r="G16" s="76">
        <f t="shared" si="2"/>
        <v>89.6742</v>
      </c>
      <c r="H16" s="76">
        <f t="shared" si="2"/>
        <v>24.71853</v>
      </c>
      <c r="I16" s="77">
        <f t="shared" si="2"/>
        <v>11.31984</v>
      </c>
      <c r="J16" s="45"/>
      <c r="K16" s="78">
        <f>SUM(D16:I16)</f>
        <v>833.26504</v>
      </c>
      <c r="L16" s="79">
        <f>MAX(D16:I16)</f>
        <v>360.05649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4"/>
      <c r="B17" s="15"/>
      <c r="C17" s="15"/>
      <c r="D17" s="84"/>
      <c r="E17" s="84"/>
      <c r="F17" s="84"/>
      <c r="G17" s="84"/>
      <c r="H17" s="84"/>
      <c r="I17" s="84"/>
      <c r="J17" s="84"/>
      <c r="K17" s="85"/>
      <c r="L17" s="8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46" t="s">
        <v>45</v>
      </c>
      <c r="B18" s="28"/>
      <c r="C18" s="28"/>
      <c r="D18" s="87"/>
      <c r="E18" s="87"/>
      <c r="F18" s="87"/>
      <c r="G18" s="87"/>
      <c r="H18" s="87"/>
      <c r="I18" s="87"/>
      <c r="J18" s="87"/>
      <c r="K18" s="82"/>
      <c r="L18" s="88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ht="14.25" customHeight="1">
      <c r="A19" s="46"/>
      <c r="B19" s="46" t="s">
        <v>46</v>
      </c>
      <c r="C19" s="89">
        <v>0.07</v>
      </c>
      <c r="D19" s="90" t="s">
        <v>47</v>
      </c>
      <c r="E19" s="26"/>
      <c r="F19" s="46"/>
      <c r="G19" s="26"/>
      <c r="H19" s="87"/>
      <c r="I19" s="87"/>
      <c r="J19" s="87"/>
      <c r="K19" s="82"/>
      <c r="L19" s="88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ht="14.25" customHeight="1">
      <c r="A20" s="26"/>
      <c r="B20" s="26"/>
      <c r="C20" s="26"/>
      <c r="D20" s="28" t="s">
        <v>2</v>
      </c>
      <c r="E20" s="28" t="s">
        <v>3</v>
      </c>
      <c r="F20" s="28" t="s">
        <v>4</v>
      </c>
      <c r="G20" s="28" t="s">
        <v>5</v>
      </c>
      <c r="H20" s="28" t="s">
        <v>6</v>
      </c>
      <c r="I20" s="28" t="s">
        <v>7</v>
      </c>
      <c r="J20" s="28"/>
      <c r="K20" s="73" t="s">
        <v>9</v>
      </c>
      <c r="L20" s="74" t="s">
        <v>39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4.25" customHeight="1">
      <c r="D21" s="75">
        <f t="shared" ref="D21:I21" si="3">D4*$C$19</f>
        <v>4.87382</v>
      </c>
      <c r="E21" s="76">
        <f t="shared" si="3"/>
        <v>30.36621</v>
      </c>
      <c r="F21" s="76">
        <f t="shared" si="3"/>
        <v>25.34931</v>
      </c>
      <c r="G21" s="76">
        <f t="shared" si="3"/>
        <v>8.1522</v>
      </c>
      <c r="H21" s="76">
        <f t="shared" si="3"/>
        <v>2.37027</v>
      </c>
      <c r="I21" s="77">
        <f t="shared" si="3"/>
        <v>1.10054</v>
      </c>
      <c r="J21" s="45"/>
      <c r="K21" s="78">
        <f>SUM(D21:I21)</f>
        <v>72.21235</v>
      </c>
      <c r="L21" s="79">
        <f>MAX(D21:I21)</f>
        <v>30.36621</v>
      </c>
    </row>
    <row r="22" ht="14.25" customHeight="1">
      <c r="D22" s="7"/>
      <c r="E22" s="7"/>
      <c r="F22" s="7"/>
      <c r="G22" s="7"/>
      <c r="H22" s="7"/>
      <c r="I22" s="7"/>
      <c r="J22" s="7"/>
      <c r="K22" s="91"/>
      <c r="L22" s="34"/>
    </row>
    <row r="23" ht="29.25" customHeight="1">
      <c r="A23" s="60" t="s">
        <v>48</v>
      </c>
      <c r="B23" s="61" t="s">
        <v>49</v>
      </c>
      <c r="C23" s="26"/>
      <c r="D23" s="56"/>
      <c r="E23" s="56"/>
      <c r="F23" s="56"/>
      <c r="G23" s="56"/>
      <c r="H23" s="56"/>
      <c r="I23" s="56"/>
      <c r="J23" s="56"/>
      <c r="K23" s="92"/>
      <c r="L23" s="83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8.0" customHeight="1">
      <c r="A24" s="26"/>
      <c r="B24" s="26"/>
      <c r="C24" s="26"/>
      <c r="D24" s="28" t="s">
        <v>2</v>
      </c>
      <c r="E24" s="28" t="s">
        <v>3</v>
      </c>
      <c r="F24" s="28" t="s">
        <v>4</v>
      </c>
      <c r="G24" s="28" t="s">
        <v>5</v>
      </c>
      <c r="H24" s="28" t="s">
        <v>6</v>
      </c>
      <c r="I24" s="28" t="s">
        <v>7</v>
      </c>
      <c r="J24" s="28"/>
      <c r="K24" s="73" t="s">
        <v>9</v>
      </c>
      <c r="L24" s="74" t="s">
        <v>39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14.25" customHeight="1">
      <c r="A25" s="4"/>
      <c r="B25" s="9"/>
      <c r="C25" s="9"/>
      <c r="D25" s="75">
        <f t="shared" ref="D25:I25" si="4">D16-D21</f>
        <v>52.91576</v>
      </c>
      <c r="E25" s="76">
        <f t="shared" si="4"/>
        <v>329.69028</v>
      </c>
      <c r="F25" s="76">
        <f t="shared" si="4"/>
        <v>264.35709</v>
      </c>
      <c r="G25" s="76">
        <f t="shared" si="4"/>
        <v>81.522</v>
      </c>
      <c r="H25" s="76">
        <f t="shared" si="4"/>
        <v>22.34826</v>
      </c>
      <c r="I25" s="77">
        <f t="shared" si="4"/>
        <v>10.2193</v>
      </c>
      <c r="J25" s="45"/>
      <c r="K25" s="93">
        <f>SUM(D25:I25)</f>
        <v>761.05269</v>
      </c>
      <c r="L25" s="94">
        <f>MAX(D25:I25)</f>
        <v>329.69028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D26" s="84"/>
      <c r="E26" s="84"/>
      <c r="F26" s="84"/>
      <c r="G26" s="84"/>
      <c r="H26" s="84"/>
      <c r="I26" s="84"/>
      <c r="J26" s="84"/>
    </row>
    <row r="27" ht="14.25" customHeight="1">
      <c r="D27" s="16"/>
      <c r="E27" s="16"/>
      <c r="F27" s="16"/>
      <c r="G27" s="16"/>
      <c r="H27" s="16"/>
      <c r="I27" s="16"/>
      <c r="J27" s="16"/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4:B4"/>
    <mergeCell ref="A8:B8"/>
  </mergeCells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9.43"/>
    <col customWidth="1" min="2" max="2" width="6.43"/>
    <col customWidth="1" min="3" max="3" width="3.86"/>
    <col customWidth="1" min="4" max="4" width="12.29"/>
    <col customWidth="1" min="5" max="5" width="11.86"/>
    <col customWidth="1" min="6" max="6" width="12.0"/>
    <col customWidth="1" min="7" max="7" width="12.57"/>
    <col customWidth="1" min="8" max="8" width="10.43"/>
    <col customWidth="1" min="9" max="9" width="12.43"/>
    <col customWidth="1" min="10" max="10" width="10.71"/>
    <col customWidth="1" min="11" max="11" width="15.0"/>
    <col customWidth="1" min="12" max="26" width="10.71"/>
  </cols>
  <sheetData>
    <row r="1" ht="14.25" customHeight="1">
      <c r="A1" s="95" t="s">
        <v>50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ht="14.25" customHeight="1">
      <c r="A2" s="98"/>
      <c r="B2" s="98"/>
      <c r="C2" s="98"/>
      <c r="D2" s="99" t="s">
        <v>51</v>
      </c>
      <c r="E2" s="99" t="s">
        <v>52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ht="14.25" customHeight="1">
      <c r="A3" s="4" t="s">
        <v>53</v>
      </c>
      <c r="D3" s="100">
        <v>2500.0</v>
      </c>
      <c r="E3" s="18"/>
    </row>
    <row r="4" ht="14.25" customHeight="1">
      <c r="A4" s="4"/>
      <c r="E4" s="18"/>
    </row>
    <row r="5" ht="14.25" customHeight="1">
      <c r="A5" s="5" t="s">
        <v>54</v>
      </c>
    </row>
    <row r="6" ht="14.25" customHeight="1">
      <c r="A6" s="15" t="s">
        <v>25</v>
      </c>
      <c r="B6" s="101">
        <v>0.7</v>
      </c>
      <c r="C6" s="102"/>
      <c r="D6" s="103">
        <f t="shared" ref="D6:D8" si="1">$D$3*B6</f>
        <v>1750</v>
      </c>
      <c r="E6" s="104">
        <v>900.0</v>
      </c>
    </row>
    <row r="7" ht="14.25" customHeight="1">
      <c r="A7" s="15" t="s">
        <v>55</v>
      </c>
      <c r="B7" s="105">
        <v>0.15</v>
      </c>
      <c r="C7" s="106"/>
      <c r="D7" s="107">
        <f t="shared" si="1"/>
        <v>375</v>
      </c>
      <c r="E7" s="108">
        <v>200.0</v>
      </c>
    </row>
    <row r="8" ht="14.25" customHeight="1">
      <c r="A8" s="15" t="s">
        <v>56</v>
      </c>
      <c r="B8" s="109">
        <v>0.15</v>
      </c>
      <c r="C8" s="110"/>
      <c r="D8" s="111">
        <f t="shared" si="1"/>
        <v>375</v>
      </c>
      <c r="E8" s="112">
        <v>400.0</v>
      </c>
    </row>
    <row r="9" ht="14.25" customHeight="1">
      <c r="A9" s="15"/>
      <c r="B9" s="16"/>
      <c r="C9" s="16"/>
      <c r="D9" s="3"/>
      <c r="E9" s="3"/>
    </row>
    <row r="10" ht="14.25" customHeight="1">
      <c r="A10" s="5" t="s">
        <v>57</v>
      </c>
      <c r="D10" s="3"/>
      <c r="E10" s="3"/>
    </row>
    <row r="11" ht="14.25" customHeight="1">
      <c r="A11" s="15" t="s">
        <v>58</v>
      </c>
      <c r="D11" s="3">
        <f>D6+D7</f>
        <v>2125</v>
      </c>
      <c r="E11" s="3">
        <f>10*ROUNDUP(((D6*E6+D7*E7)/D11)/10,0)</f>
        <v>780</v>
      </c>
    </row>
    <row r="12" ht="14.25" customHeight="1">
      <c r="A12" s="15"/>
      <c r="D12" s="3"/>
      <c r="E12" s="3"/>
    </row>
    <row r="13" ht="14.25" customHeight="1">
      <c r="A13" s="5" t="s">
        <v>59</v>
      </c>
      <c r="D13" s="3"/>
      <c r="E13" s="3"/>
    </row>
    <row r="14" ht="14.25" customHeight="1">
      <c r="A14" s="15" t="s">
        <v>60</v>
      </c>
      <c r="D14" s="3">
        <f>D11+D8</f>
        <v>2500</v>
      </c>
      <c r="E14" s="3">
        <f>(D6*E6+D7*E7+D8*E8)/D14</f>
        <v>720</v>
      </c>
    </row>
    <row r="15" ht="14.25" customHeight="1">
      <c r="A15" s="15"/>
      <c r="D15" s="3"/>
      <c r="E15" s="3"/>
    </row>
    <row r="16" ht="14.25" customHeight="1">
      <c r="A16" s="113" t="s">
        <v>61</v>
      </c>
      <c r="B16" s="97"/>
      <c r="C16" s="97"/>
      <c r="D16" s="114"/>
      <c r="E16" s="114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ht="14.25" customHeight="1">
      <c r="A17" s="115" t="s">
        <v>62</v>
      </c>
      <c r="B17" s="106">
        <v>0.55</v>
      </c>
      <c r="C17" s="116"/>
      <c r="D17" s="117">
        <f>D14*B17</f>
        <v>1375</v>
      </c>
      <c r="E17" s="114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ht="14.25" customHeight="1">
      <c r="A18" s="115"/>
      <c r="B18" s="116"/>
      <c r="C18" s="116"/>
      <c r="D18" s="118"/>
      <c r="E18" s="114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ht="14.25" customHeight="1">
      <c r="B19" s="16"/>
      <c r="C19" s="16"/>
      <c r="I19" s="18"/>
      <c r="K19" s="3"/>
      <c r="L19" s="3"/>
      <c r="M19" s="3"/>
      <c r="N19" s="3"/>
      <c r="O19" s="3"/>
      <c r="P19" s="3"/>
    </row>
    <row r="20" ht="14.25" customHeight="1">
      <c r="A20" s="119" t="s">
        <v>63</v>
      </c>
      <c r="B20" s="120"/>
      <c r="C20" s="120"/>
      <c r="D20" s="121"/>
      <c r="E20" s="121"/>
      <c r="F20" s="121"/>
      <c r="G20" s="121"/>
      <c r="H20" s="121"/>
      <c r="I20" s="121"/>
      <c r="L20" s="7"/>
      <c r="M20" s="7"/>
      <c r="N20" s="7"/>
      <c r="O20" s="7"/>
      <c r="P20" s="7"/>
    </row>
    <row r="21" ht="14.25" customHeight="1">
      <c r="A21" s="4"/>
      <c r="B21" s="16"/>
      <c r="C21" s="16"/>
      <c r="D21" s="6"/>
      <c r="E21" s="6"/>
      <c r="F21" s="6"/>
      <c r="G21" s="6"/>
      <c r="H21" s="6"/>
      <c r="I21" s="18" t="s">
        <v>64</v>
      </c>
      <c r="L21" s="7"/>
      <c r="M21" s="7"/>
      <c r="N21" s="7"/>
      <c r="O21" s="7"/>
      <c r="P21" s="7"/>
    </row>
    <row r="22" ht="14.25" customHeight="1">
      <c r="A22" s="15" t="s">
        <v>65</v>
      </c>
      <c r="B22" s="122">
        <v>30.0</v>
      </c>
      <c r="C22" s="16" t="s">
        <v>66</v>
      </c>
      <c r="I22" s="123">
        <f>B22*D17</f>
        <v>41250</v>
      </c>
    </row>
    <row r="23" ht="14.25" customHeight="1">
      <c r="A23" s="15" t="s">
        <v>67</v>
      </c>
      <c r="B23" s="122">
        <v>6.0</v>
      </c>
      <c r="C23" s="16" t="s">
        <v>66</v>
      </c>
      <c r="I23" s="123">
        <f>B23*D6</f>
        <v>10500</v>
      </c>
      <c r="K23" s="124"/>
    </row>
    <row r="24" ht="14.25" customHeight="1">
      <c r="B24" s="16"/>
      <c r="C24" s="16"/>
      <c r="K24" s="16"/>
    </row>
    <row r="25" ht="14.25" customHeight="1">
      <c r="A25" s="119" t="s">
        <v>68</v>
      </c>
      <c r="B25" s="120"/>
      <c r="C25" s="120"/>
      <c r="D25" s="121"/>
      <c r="E25" s="121"/>
      <c r="F25" s="121"/>
      <c r="G25" s="121"/>
      <c r="H25" s="121"/>
      <c r="I25" s="121"/>
    </row>
    <row r="26" ht="14.25" customHeight="1">
      <c r="B26" s="16"/>
      <c r="C26" s="16"/>
      <c r="I26" s="18" t="s">
        <v>64</v>
      </c>
    </row>
    <row r="27" ht="14.25" customHeight="1">
      <c r="A27" s="125" t="s">
        <v>69</v>
      </c>
      <c r="H27" s="126">
        <v>61600.0</v>
      </c>
    </row>
    <row r="28" ht="14.25" customHeight="1">
      <c r="A28" s="5" t="s">
        <v>70</v>
      </c>
      <c r="H28" s="126">
        <v>25000.0</v>
      </c>
    </row>
    <row r="29" ht="14.25" customHeight="1">
      <c r="A29" s="5" t="s">
        <v>71</v>
      </c>
      <c r="H29" s="126">
        <v>53000.0</v>
      </c>
    </row>
    <row r="30" ht="14.25" hidden="1" customHeight="1">
      <c r="A30" s="5" t="s">
        <v>72</v>
      </c>
      <c r="H30" s="126">
        <v>26000.0</v>
      </c>
    </row>
    <row r="31" ht="14.25" customHeight="1">
      <c r="B31" s="16" t="s">
        <v>73</v>
      </c>
      <c r="C31" s="16"/>
      <c r="H31" s="127">
        <f>SUM(H27:H30)*1.05</f>
        <v>173880</v>
      </c>
      <c r="I31" s="123">
        <f>SUM(H27:H29)*1.05</f>
        <v>146580</v>
      </c>
    </row>
    <row r="32" ht="14.25" customHeight="1">
      <c r="B32" s="16"/>
      <c r="C32" s="16"/>
    </row>
    <row r="33" ht="14.25" customHeight="1">
      <c r="A33" s="119" t="s">
        <v>74</v>
      </c>
      <c r="B33" s="120"/>
      <c r="C33" s="120"/>
      <c r="D33" s="121"/>
      <c r="E33" s="121"/>
      <c r="F33" s="121"/>
      <c r="G33" s="121"/>
      <c r="H33" s="121"/>
      <c r="I33" s="128"/>
    </row>
    <row r="34" ht="14.25" customHeight="1">
      <c r="B34" s="16"/>
      <c r="C34" s="16"/>
    </row>
    <row r="35" ht="14.25" customHeight="1">
      <c r="A35" s="5" t="s">
        <v>75</v>
      </c>
      <c r="B35" s="122">
        <v>25.0</v>
      </c>
      <c r="C35" s="5" t="s">
        <v>76</v>
      </c>
    </row>
    <row r="36" ht="14.25" customHeight="1">
      <c r="A36" s="5" t="s">
        <v>77</v>
      </c>
      <c r="B36" s="122">
        <v>1.0</v>
      </c>
      <c r="C36" s="5" t="s">
        <v>78</v>
      </c>
    </row>
    <row r="37" ht="14.25" customHeight="1">
      <c r="A37" s="5" t="s">
        <v>79</v>
      </c>
      <c r="B37" s="122">
        <v>20.0</v>
      </c>
      <c r="C37" s="5" t="s">
        <v>80</v>
      </c>
    </row>
    <row r="38" ht="14.25" customHeight="1"/>
    <row r="39" ht="14.25" customHeight="1">
      <c r="A39" s="95" t="s">
        <v>81</v>
      </c>
      <c r="B39" s="96"/>
      <c r="C39" s="96"/>
      <c r="D39" s="96"/>
      <c r="E39" s="96"/>
      <c r="F39" s="96"/>
      <c r="G39" s="96"/>
      <c r="H39" s="96"/>
      <c r="I39" s="96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ht="14.25" customHeight="1"/>
    <row r="41" ht="14.25" customHeight="1">
      <c r="A41" s="129" t="s">
        <v>82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</row>
    <row r="42" ht="14.25" customHeight="1">
      <c r="A42" s="130"/>
      <c r="B42" s="130"/>
      <c r="C42" s="130"/>
      <c r="D42" s="131" t="s">
        <v>83</v>
      </c>
      <c r="E42" s="131" t="s">
        <v>84</v>
      </c>
      <c r="F42" s="131" t="s">
        <v>85</v>
      </c>
      <c r="G42" s="131" t="s">
        <v>86</v>
      </c>
      <c r="H42" s="131" t="s">
        <v>87</v>
      </c>
      <c r="I42" s="131" t="s">
        <v>64</v>
      </c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</row>
    <row r="43" ht="14.25" customHeight="1">
      <c r="A43" s="5" t="s">
        <v>88</v>
      </c>
      <c r="B43" s="132">
        <v>10.0</v>
      </c>
      <c r="C43" s="6" t="s">
        <v>89</v>
      </c>
      <c r="I43" s="130"/>
    </row>
    <row r="44" ht="14.25" customHeight="1">
      <c r="C44" s="6"/>
      <c r="I44" s="130"/>
    </row>
    <row r="45" ht="14.25" customHeight="1">
      <c r="A45" s="3" t="s">
        <v>58</v>
      </c>
      <c r="B45" s="122">
        <v>0.0</v>
      </c>
      <c r="C45" s="5" t="s">
        <v>66</v>
      </c>
      <c r="D45" s="3">
        <v>18.0</v>
      </c>
      <c r="E45" s="3">
        <f>ROUND(D11/D45*B43*2,0)</f>
        <v>2361</v>
      </c>
      <c r="F45" s="133">
        <f>E45/B37*1.5</f>
        <v>177.075</v>
      </c>
      <c r="G45" s="134">
        <f>(B36+0.2*B36)*0.15*110*F45</f>
        <v>3506.085</v>
      </c>
      <c r="H45" s="134">
        <f>B35*F45</f>
        <v>4426.875</v>
      </c>
      <c r="I45" s="135">
        <f>G45+H45</f>
        <v>7932.96</v>
      </c>
    </row>
    <row r="46" ht="14.25" customHeight="1">
      <c r="A46" s="15"/>
      <c r="D46" s="3"/>
      <c r="E46" s="3"/>
      <c r="F46" s="133"/>
      <c r="G46" s="134"/>
      <c r="H46" s="134"/>
      <c r="I46" s="135"/>
    </row>
    <row r="47" ht="14.25" customHeight="1">
      <c r="A47" s="5" t="s">
        <v>90</v>
      </c>
      <c r="B47" s="122">
        <v>10.0</v>
      </c>
      <c r="C47" s="6" t="s">
        <v>89</v>
      </c>
      <c r="D47" s="3"/>
      <c r="E47" s="3"/>
      <c r="F47" s="3"/>
      <c r="G47" s="3"/>
      <c r="H47" s="3"/>
      <c r="I47" s="130"/>
    </row>
    <row r="48" ht="14.25" customHeight="1">
      <c r="C48" s="6"/>
      <c r="D48" s="3"/>
      <c r="E48" s="3"/>
      <c r="F48" s="3"/>
      <c r="G48" s="3"/>
      <c r="H48" s="3"/>
      <c r="I48" s="130"/>
    </row>
    <row r="49" ht="14.25" customHeight="1">
      <c r="A49" s="3" t="s">
        <v>56</v>
      </c>
      <c r="C49" s="6"/>
      <c r="D49" s="3"/>
      <c r="E49" s="3"/>
      <c r="F49" s="3"/>
      <c r="G49" s="3"/>
      <c r="H49" s="3"/>
      <c r="I49" s="130"/>
    </row>
    <row r="50" ht="14.25" customHeight="1">
      <c r="A50" s="15" t="s">
        <v>91</v>
      </c>
      <c r="B50" s="122">
        <v>5.0</v>
      </c>
      <c r="C50" s="5" t="s">
        <v>66</v>
      </c>
      <c r="D50" s="3"/>
      <c r="E50" s="3"/>
      <c r="F50" s="3"/>
      <c r="G50" s="3"/>
      <c r="H50" s="3"/>
      <c r="I50" s="135">
        <f>B50*D8</f>
        <v>1875</v>
      </c>
    </row>
    <row r="51" ht="14.25" customHeight="1">
      <c r="A51" s="15" t="s">
        <v>92</v>
      </c>
      <c r="D51" s="3">
        <v>9.0</v>
      </c>
      <c r="E51" s="133">
        <f>ROUND(D8/D51*B47*2,0)</f>
        <v>833</v>
      </c>
      <c r="F51" s="133">
        <f>E51/B37*1.5</f>
        <v>62.475</v>
      </c>
      <c r="G51" s="134">
        <f>(B36+0.2*B36)*0.15*110*F51</f>
        <v>1237.005</v>
      </c>
      <c r="H51" s="134">
        <f>B35*F51</f>
        <v>1561.875</v>
      </c>
      <c r="I51" s="135">
        <f>G51+H51</f>
        <v>2798.88</v>
      </c>
    </row>
    <row r="52" ht="14.25" customHeight="1">
      <c r="I52" s="136"/>
    </row>
    <row r="53" ht="14.25" customHeight="1">
      <c r="A53" s="129" t="s">
        <v>93</v>
      </c>
      <c r="B53" s="129"/>
      <c r="C53" s="122">
        <v>1.0</v>
      </c>
      <c r="D53" s="129" t="s">
        <v>94</v>
      </c>
      <c r="E53" s="129"/>
      <c r="F53" s="129"/>
      <c r="G53" s="129"/>
      <c r="H53" s="129"/>
      <c r="I53" s="130"/>
    </row>
    <row r="54" ht="14.25" customHeight="1">
      <c r="I54" s="130"/>
    </row>
    <row r="55" ht="14.25" customHeight="1">
      <c r="D55" s="18"/>
      <c r="E55" s="18" t="s">
        <v>95</v>
      </c>
      <c r="F55" s="18" t="s">
        <v>85</v>
      </c>
      <c r="G55" s="18" t="s">
        <v>86</v>
      </c>
      <c r="H55" s="18" t="s">
        <v>87</v>
      </c>
      <c r="I55" s="131" t="s">
        <v>64</v>
      </c>
    </row>
    <row r="56" ht="14.25" customHeight="1">
      <c r="D56" s="18"/>
      <c r="E56" s="18"/>
      <c r="F56" s="18"/>
      <c r="G56" s="18"/>
      <c r="H56" s="18"/>
      <c r="I56" s="131"/>
    </row>
    <row r="57" ht="14.25" customHeight="1">
      <c r="A57" s="15" t="s">
        <v>60</v>
      </c>
      <c r="E57" s="133">
        <f>D11/D45</f>
        <v>118.0555556</v>
      </c>
      <c r="F57" s="133">
        <f>E57*C53</f>
        <v>118.0555556</v>
      </c>
      <c r="G57" s="134">
        <f>(B36+0.2*B36)*0.15*110*F57</f>
        <v>2337.5</v>
      </c>
      <c r="H57" s="134">
        <f>F57*B35</f>
        <v>2951.388889</v>
      </c>
      <c r="I57" s="135">
        <f>G57+H57</f>
        <v>5288.888889</v>
      </c>
    </row>
    <row r="58" ht="14.25" customHeight="1">
      <c r="A58" s="15"/>
      <c r="E58" s="20"/>
      <c r="F58" s="20"/>
      <c r="G58" s="7"/>
      <c r="H58" s="7"/>
      <c r="I58" s="136"/>
    </row>
    <row r="59" ht="14.25" customHeight="1">
      <c r="A59" s="137" t="s">
        <v>96</v>
      </c>
      <c r="B59" s="129"/>
      <c r="C59" s="122">
        <v>8.0</v>
      </c>
      <c r="D59" s="129" t="s">
        <v>97</v>
      </c>
      <c r="E59" s="138"/>
      <c r="F59" s="138"/>
      <c r="G59" s="139"/>
      <c r="H59" s="139"/>
      <c r="I59" s="136"/>
    </row>
    <row r="60" ht="14.25" customHeight="1">
      <c r="E60" s="20"/>
      <c r="F60" s="20"/>
      <c r="G60" s="7"/>
      <c r="H60" s="7"/>
      <c r="I60" s="136"/>
    </row>
    <row r="61" ht="14.25" customHeight="1">
      <c r="D61" s="18"/>
      <c r="E61" s="18" t="s">
        <v>95</v>
      </c>
      <c r="F61" s="18" t="s">
        <v>85</v>
      </c>
      <c r="G61" s="18" t="s">
        <v>86</v>
      </c>
      <c r="H61" s="18" t="s">
        <v>87</v>
      </c>
      <c r="I61" s="131" t="s">
        <v>64</v>
      </c>
    </row>
    <row r="62" ht="14.25" customHeight="1">
      <c r="E62" s="3">
        <v>5.0</v>
      </c>
      <c r="F62" s="3">
        <f>E62*C59</f>
        <v>40</v>
      </c>
      <c r="G62" s="134">
        <f>(B36+0.2*B36)*0.15*110*F62</f>
        <v>792</v>
      </c>
      <c r="H62" s="3">
        <f>F62*B35</f>
        <v>1000</v>
      </c>
      <c r="I62" s="135">
        <f>G62+H62</f>
        <v>1792</v>
      </c>
    </row>
    <row r="63" ht="14.25" customHeight="1">
      <c r="E63" s="3"/>
      <c r="F63" s="3"/>
      <c r="G63" s="134"/>
      <c r="H63" s="3"/>
      <c r="I63" s="135"/>
    </row>
    <row r="64" ht="14.25" hidden="1" customHeight="1">
      <c r="A64" s="5" t="s">
        <v>98</v>
      </c>
    </row>
    <row r="65" ht="14.25" hidden="1" customHeight="1">
      <c r="D65" s="18" t="s">
        <v>99</v>
      </c>
      <c r="E65" s="18" t="s">
        <v>84</v>
      </c>
      <c r="F65" s="18" t="s">
        <v>85</v>
      </c>
      <c r="G65" s="18" t="s">
        <v>86</v>
      </c>
      <c r="H65" s="18" t="s">
        <v>87</v>
      </c>
      <c r="I65" s="18" t="s">
        <v>64</v>
      </c>
    </row>
    <row r="66" ht="14.25" hidden="1" customHeight="1">
      <c r="A66" s="5" t="s">
        <v>100</v>
      </c>
      <c r="B66" s="5">
        <v>10.0</v>
      </c>
      <c r="D66" s="18"/>
      <c r="E66" s="18"/>
      <c r="F66" s="18"/>
      <c r="G66" s="18"/>
      <c r="H66" s="18"/>
      <c r="I66" s="18"/>
    </row>
    <row r="67" ht="14.25" hidden="1" customHeight="1">
      <c r="A67" s="15" t="s">
        <v>101</v>
      </c>
      <c r="B67" s="140">
        <v>1.0</v>
      </c>
      <c r="C67" s="16"/>
      <c r="D67" s="5">
        <v>13.5</v>
      </c>
      <c r="E67" s="5">
        <f>ROUND(D17/D67*B66*2,0)*B67</f>
        <v>2037</v>
      </c>
      <c r="F67" s="20">
        <f>E67/B37*1.5</f>
        <v>152.775</v>
      </c>
      <c r="G67" s="7">
        <f>(B36+0.2*B36)*0.15*110*F67</f>
        <v>3024.945</v>
      </c>
      <c r="H67" s="7">
        <f>F67*25</f>
        <v>3819.375</v>
      </c>
      <c r="I67" s="7">
        <f>G67+H67</f>
        <v>6844.32</v>
      </c>
    </row>
    <row r="68" ht="14.25" hidden="1" customHeight="1">
      <c r="A68" s="15" t="s">
        <v>102</v>
      </c>
      <c r="B68" s="16">
        <f>1-B67</f>
        <v>0</v>
      </c>
      <c r="C68" s="16"/>
      <c r="F68" s="20"/>
      <c r="G68" s="7"/>
      <c r="H68" s="7"/>
      <c r="I68" s="7"/>
    </row>
    <row r="69" ht="14.25" customHeight="1">
      <c r="I69" s="130"/>
    </row>
    <row r="70" ht="14.25" customHeight="1">
      <c r="A70" s="137" t="s">
        <v>103</v>
      </c>
      <c r="B70" s="129"/>
      <c r="C70" s="129"/>
      <c r="D70" s="129"/>
      <c r="E70" s="129"/>
      <c r="F70" s="138"/>
      <c r="G70" s="129"/>
      <c r="H70" s="129"/>
      <c r="I70" s="130"/>
    </row>
    <row r="71" ht="14.25" customHeight="1">
      <c r="I71" s="131" t="s">
        <v>64</v>
      </c>
    </row>
    <row r="72" ht="14.25" customHeight="1">
      <c r="B72" s="122">
        <v>2.0</v>
      </c>
      <c r="C72" s="5" t="s">
        <v>66</v>
      </c>
      <c r="I72" s="135">
        <f>B72*D3</f>
        <v>5000</v>
      </c>
    </row>
    <row r="73" ht="14.25" customHeight="1">
      <c r="A73" s="130"/>
      <c r="B73" s="130"/>
      <c r="C73" s="130"/>
      <c r="D73" s="130"/>
      <c r="E73" s="130"/>
      <c r="F73" s="130"/>
      <c r="G73" s="130"/>
      <c r="H73" s="130"/>
      <c r="I73" s="136"/>
    </row>
    <row r="74" ht="14.25" customHeight="1">
      <c r="I74" s="7"/>
    </row>
    <row r="75" ht="14.25" customHeight="1">
      <c r="F75" s="141" t="s">
        <v>104</v>
      </c>
      <c r="G75" s="142"/>
      <c r="H75" s="142"/>
      <c r="I75" s="143">
        <f>I22-I45-I50-I51-I57-I62-I72</f>
        <v>16562.27111</v>
      </c>
    </row>
    <row r="76" ht="14.25" customHeight="1"/>
    <row r="77" ht="14.25" customHeight="1">
      <c r="F77" s="141" t="s">
        <v>105</v>
      </c>
      <c r="G77" s="142"/>
      <c r="H77" s="142"/>
      <c r="I77" s="143">
        <f>I75-I31/10</f>
        <v>1904.271111</v>
      </c>
    </row>
    <row r="78" ht="14.25" customHeight="1">
      <c r="F78" s="6"/>
      <c r="G78" s="6"/>
      <c r="H78" s="6"/>
      <c r="I78" s="123"/>
    </row>
    <row r="79" ht="14.25" customHeight="1">
      <c r="F79" s="144"/>
      <c r="G79" s="145" t="s">
        <v>106</v>
      </c>
      <c r="H79" s="146"/>
      <c r="I79" s="147"/>
    </row>
    <row r="80" ht="14.25" customHeight="1">
      <c r="F80" s="148" t="s">
        <v>107</v>
      </c>
      <c r="G80" s="149">
        <v>0.03</v>
      </c>
      <c r="H80" s="150"/>
      <c r="I80" s="151">
        <f t="array" ref="I80">NPV(G80,D85:I85)</f>
        <v>39395.99545</v>
      </c>
    </row>
    <row r="81" ht="14.25" customHeight="1">
      <c r="F81" s="148"/>
      <c r="G81" s="150"/>
      <c r="H81" s="150"/>
      <c r="I81" s="152"/>
    </row>
    <row r="82" ht="14.25" customHeight="1">
      <c r="F82" s="153" t="s">
        <v>108</v>
      </c>
      <c r="G82" s="154"/>
      <c r="H82" s="154"/>
      <c r="I82" s="155">
        <f>IRR(D85:I85)</f>
        <v>0.1032547078</v>
      </c>
    </row>
    <row r="83" ht="14.25" customHeight="1"/>
    <row r="84" ht="14.25" customHeight="1"/>
    <row r="85" ht="14.25" hidden="1" customHeight="1">
      <c r="D85" s="156">
        <f>-I31</f>
        <v>-146580</v>
      </c>
      <c r="E85" s="156">
        <f>I22+I23-I45-I50-I51-I57-I62-I72</f>
        <v>27062.27111</v>
      </c>
      <c r="F85" s="156">
        <f t="shared" ref="F85:H85" si="2">E85</f>
        <v>27062.27111</v>
      </c>
      <c r="G85" s="156">
        <f t="shared" si="2"/>
        <v>27062.27111</v>
      </c>
      <c r="H85" s="156">
        <f t="shared" si="2"/>
        <v>27062.27111</v>
      </c>
      <c r="I85" s="156">
        <f>H85-D85/2</f>
        <v>100352.2711</v>
      </c>
    </row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9.57"/>
    <col customWidth="1" min="2" max="2" width="13.71"/>
    <col customWidth="1" min="3" max="8" width="11.0"/>
    <col customWidth="1" min="9" max="11" width="13.0"/>
    <col customWidth="1" min="12" max="12" width="18.0"/>
    <col customWidth="1" min="13" max="26" width="10.71"/>
  </cols>
  <sheetData>
    <row r="1" ht="14.25" customHeight="1">
      <c r="A1" s="157" t="s">
        <v>109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4.25" customHeight="1"/>
    <row r="3" ht="14.25" customHeight="1">
      <c r="A3" s="1"/>
      <c r="B3" s="9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2" t="s">
        <v>110</v>
      </c>
      <c r="J3" s="2" t="s">
        <v>111</v>
      </c>
      <c r="K3" s="2" t="s">
        <v>112</v>
      </c>
      <c r="L3" s="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159" t="s">
        <v>113</v>
      </c>
      <c r="B4" s="17">
        <v>20.0</v>
      </c>
      <c r="C4" s="66">
        <f>ROUNDUP(DATOS!D25/'LOGÍSTICA'!$B$4,0)</f>
        <v>3</v>
      </c>
      <c r="D4" s="66">
        <f>ROUNDUP(DATOS!E25/'LOGÍSTICA'!$B$4,0)</f>
        <v>17</v>
      </c>
      <c r="E4" s="66">
        <f>ROUNDUP(DATOS!F25/'LOGÍSTICA'!$B$4,0)</f>
        <v>14</v>
      </c>
      <c r="F4" s="66">
        <f>ROUNDUP(DATOS!G25/'LOGÍSTICA'!$B$4,0)</f>
        <v>5</v>
      </c>
      <c r="G4" s="66">
        <f>ROUNDUP(DATOS!H25/'LOGÍSTICA'!$B$4,0)</f>
        <v>2</v>
      </c>
      <c r="H4" s="66">
        <f>ROUNDUP(DATOS!I25/'LOGÍSTICA'!$B$4,0)</f>
        <v>1</v>
      </c>
      <c r="I4" s="2"/>
      <c r="J4" s="66"/>
      <c r="K4" s="2"/>
      <c r="L4" s="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9" t="s">
        <v>114</v>
      </c>
      <c r="B5" s="4"/>
      <c r="C5" s="160">
        <v>1.0</v>
      </c>
      <c r="D5" s="161">
        <v>1.0</v>
      </c>
      <c r="E5" s="161">
        <v>1.0</v>
      </c>
      <c r="F5" s="161">
        <v>1.0</v>
      </c>
      <c r="G5" s="161">
        <v>1.0</v>
      </c>
      <c r="H5" s="162">
        <v>1.0</v>
      </c>
      <c r="I5" s="66">
        <f t="shared" ref="I5:I8" si="1">SUM(C5:H5)</f>
        <v>6</v>
      </c>
      <c r="J5" s="66">
        <f t="shared" ref="J5:J8" si="2">I5*$B$4</f>
        <v>120</v>
      </c>
      <c r="K5" s="66"/>
      <c r="L5" s="1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9" t="s">
        <v>115</v>
      </c>
      <c r="B6" s="4"/>
      <c r="C6" s="163">
        <v>2.0</v>
      </c>
      <c r="D6" s="164">
        <v>8.0</v>
      </c>
      <c r="E6" s="164">
        <v>8.0</v>
      </c>
      <c r="F6" s="164">
        <v>4.0</v>
      </c>
      <c r="G6" s="164">
        <v>0.65</v>
      </c>
      <c r="H6" s="165">
        <v>0.0</v>
      </c>
      <c r="I6" s="66">
        <f t="shared" si="1"/>
        <v>22.65</v>
      </c>
      <c r="J6" s="66">
        <f t="shared" si="2"/>
        <v>453</v>
      </c>
      <c r="K6" s="66">
        <v>1750.0</v>
      </c>
      <c r="L6" s="1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9" t="s">
        <v>116</v>
      </c>
      <c r="B7" s="166"/>
      <c r="C7" s="163">
        <v>0.0</v>
      </c>
      <c r="D7" s="164">
        <v>7.0</v>
      </c>
      <c r="E7" s="164">
        <v>5.0</v>
      </c>
      <c r="F7" s="164">
        <v>0.0</v>
      </c>
      <c r="G7" s="164">
        <v>0.0</v>
      </c>
      <c r="H7" s="165">
        <v>0.0</v>
      </c>
      <c r="I7" s="66">
        <f t="shared" si="1"/>
        <v>12</v>
      </c>
      <c r="J7" s="66">
        <f t="shared" si="2"/>
        <v>240</v>
      </c>
      <c r="K7" s="66"/>
      <c r="L7" s="1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9" t="s">
        <v>117</v>
      </c>
      <c r="B8" s="166" t="s">
        <v>118</v>
      </c>
      <c r="C8" s="167">
        <v>0.0</v>
      </c>
      <c r="D8" s="168">
        <v>0.0</v>
      </c>
      <c r="E8" s="168">
        <v>0.0</v>
      </c>
      <c r="F8" s="168">
        <v>0.0</v>
      </c>
      <c r="G8" s="168">
        <v>0.0</v>
      </c>
      <c r="H8" s="169">
        <v>0.0</v>
      </c>
      <c r="I8" s="66">
        <f t="shared" si="1"/>
        <v>0</v>
      </c>
      <c r="J8" s="66">
        <f t="shared" si="2"/>
        <v>0</v>
      </c>
      <c r="K8" s="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4.25" customHeight="1">
      <c r="A9" s="9"/>
      <c r="B9" s="166"/>
      <c r="C9" s="66"/>
      <c r="D9" s="66"/>
      <c r="E9" s="66"/>
      <c r="F9" s="66"/>
      <c r="G9" s="66"/>
      <c r="H9" s="66"/>
      <c r="I9" s="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4.25" customHeight="1">
      <c r="A10" s="170" t="s">
        <v>14</v>
      </c>
      <c r="B10" s="171"/>
      <c r="C10" s="172">
        <f t="shared" ref="C10:H10" si="3">SUM(C5:C8)</f>
        <v>3</v>
      </c>
      <c r="D10" s="172">
        <f t="shared" si="3"/>
        <v>16</v>
      </c>
      <c r="E10" s="172">
        <f t="shared" si="3"/>
        <v>14</v>
      </c>
      <c r="F10" s="172">
        <f t="shared" si="3"/>
        <v>5</v>
      </c>
      <c r="G10" s="172">
        <f t="shared" si="3"/>
        <v>1.65</v>
      </c>
      <c r="H10" s="172">
        <f t="shared" si="3"/>
        <v>1</v>
      </c>
      <c r="I10" s="171"/>
      <c r="J10" s="173">
        <f>SUM(J5:J8)</f>
        <v>813</v>
      </c>
    </row>
    <row r="11" ht="14.25" customHeight="1">
      <c r="C11" s="3"/>
      <c r="D11" s="3"/>
      <c r="E11" s="3"/>
      <c r="F11" s="3"/>
      <c r="G11" s="3"/>
      <c r="H11" s="3"/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C10">
    <cfRule type="cellIs" dxfId="0" priority="1" operator="greaterThan">
      <formula>$C$4</formula>
    </cfRule>
  </conditionalFormatting>
  <conditionalFormatting sqref="D10">
    <cfRule type="cellIs" dxfId="0" priority="2" operator="greaterThan">
      <formula>$D$4</formula>
    </cfRule>
  </conditionalFormatting>
  <conditionalFormatting sqref="E10">
    <cfRule type="cellIs" dxfId="0" priority="3" operator="greaterThan">
      <formula>$E$4</formula>
    </cfRule>
  </conditionalFormatting>
  <conditionalFormatting sqref="F10">
    <cfRule type="cellIs" dxfId="0" priority="4" operator="greaterThan">
      <formula>$F$4</formula>
    </cfRule>
  </conditionalFormatting>
  <conditionalFormatting sqref="F10">
    <cfRule type="cellIs" dxfId="0" priority="5" operator="greaterThan">
      <formula>$F$4</formula>
    </cfRule>
  </conditionalFormatting>
  <conditionalFormatting sqref="G10">
    <cfRule type="cellIs" dxfId="0" priority="6" operator="greaterThan">
      <formula>$G$4</formula>
    </cfRule>
  </conditionalFormatting>
  <conditionalFormatting sqref="H10">
    <cfRule type="cellIs" dxfId="0" priority="7" operator="greaterThan">
      <formula>$H$4</formula>
    </cfRule>
  </conditionalFormatting>
  <conditionalFormatting sqref="J6">
    <cfRule type="cellIs" dxfId="0" priority="8" operator="greaterThan">
      <formula>$K$6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2.14"/>
    <col customWidth="1" min="2" max="2" width="11.57"/>
    <col customWidth="1" min="3" max="8" width="11.29"/>
    <col customWidth="1" min="9" max="9" width="17.29"/>
    <col customWidth="1" min="10" max="10" width="18.57"/>
    <col customWidth="1" min="11" max="11" width="19.43"/>
    <col customWidth="1" min="12" max="12" width="18.0"/>
    <col customWidth="1" min="13" max="26" width="10.71"/>
  </cols>
  <sheetData>
    <row r="1" ht="14.25" customHeight="1">
      <c r="A1" s="174" t="s">
        <v>119</v>
      </c>
      <c r="B1" s="175"/>
      <c r="C1" s="175"/>
      <c r="D1" s="175"/>
      <c r="E1" s="175"/>
      <c r="F1" s="175"/>
      <c r="G1" s="175"/>
      <c r="H1" s="175"/>
      <c r="I1" s="17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4.25" customHeight="1"/>
    <row r="3" ht="14.25" customHeight="1">
      <c r="A3" s="1"/>
      <c r="B3" s="9"/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2"/>
      <c r="J3" s="2"/>
      <c r="K3" s="2"/>
      <c r="L3" s="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176" t="s">
        <v>120</v>
      </c>
      <c r="B4" s="9" t="s">
        <v>121</v>
      </c>
      <c r="C4" s="177">
        <v>70.0</v>
      </c>
      <c r="D4" s="178">
        <v>70.0</v>
      </c>
      <c r="E4" s="178">
        <v>70.0</v>
      </c>
      <c r="F4" s="178">
        <v>70.0</v>
      </c>
      <c r="G4" s="178">
        <v>70.0</v>
      </c>
      <c r="H4" s="179">
        <v>70.0</v>
      </c>
      <c r="I4" s="2"/>
      <c r="J4" s="2"/>
      <c r="K4" s="2"/>
      <c r="L4" s="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9" t="s">
        <v>116</v>
      </c>
      <c r="B5" s="9" t="s">
        <v>121</v>
      </c>
      <c r="C5" s="163">
        <v>-6.0</v>
      </c>
      <c r="D5" s="164">
        <v>-6.0</v>
      </c>
      <c r="E5" s="164">
        <v>-6.0</v>
      </c>
      <c r="F5" s="164">
        <v>-6.0</v>
      </c>
      <c r="G5" s="164">
        <v>-6.0</v>
      </c>
      <c r="H5" s="165">
        <v>-6.0</v>
      </c>
      <c r="I5" s="45"/>
      <c r="J5" s="45"/>
      <c r="K5" s="45"/>
      <c r="L5" s="1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9" t="s">
        <v>114</v>
      </c>
      <c r="B6" s="9" t="s">
        <v>121</v>
      </c>
      <c r="C6" s="163">
        <v>0.0</v>
      </c>
      <c r="D6" s="164">
        <v>0.0</v>
      </c>
      <c r="E6" s="164">
        <v>2.0</v>
      </c>
      <c r="F6" s="164">
        <v>0.0</v>
      </c>
      <c r="G6" s="164">
        <v>0.0</v>
      </c>
      <c r="H6" s="165">
        <v>0.0</v>
      </c>
      <c r="I6" s="45"/>
      <c r="J6" s="45"/>
      <c r="K6" s="45"/>
      <c r="L6" s="1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9" t="s">
        <v>117</v>
      </c>
      <c r="B7" s="9" t="s">
        <v>121</v>
      </c>
      <c r="C7" s="180">
        <v>0.0</v>
      </c>
      <c r="D7" s="181">
        <v>0.0</v>
      </c>
      <c r="E7" s="181">
        <v>0.0</v>
      </c>
      <c r="F7" s="181">
        <v>0.0</v>
      </c>
      <c r="G7" s="181">
        <v>0.0</v>
      </c>
      <c r="H7" s="182">
        <v>0.0</v>
      </c>
      <c r="I7" s="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4.25" customHeight="1"/>
    <row r="9" ht="14.25" customHeight="1">
      <c r="A9" s="183" t="s">
        <v>122</v>
      </c>
      <c r="B9" s="175"/>
      <c r="C9" s="175"/>
      <c r="D9" s="175"/>
      <c r="E9" s="175"/>
      <c r="F9" s="175"/>
      <c r="G9" s="175"/>
      <c r="H9" s="175"/>
      <c r="I9" s="17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4.25" customHeight="1">
      <c r="A10" s="159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4.25" customHeight="1">
      <c r="C11" s="15" t="s">
        <v>2</v>
      </c>
      <c r="D11" s="15" t="s">
        <v>3</v>
      </c>
      <c r="E11" s="15" t="s">
        <v>4</v>
      </c>
      <c r="F11" s="15" t="s">
        <v>5</v>
      </c>
      <c r="G11" s="15" t="s">
        <v>6</v>
      </c>
      <c r="H11" s="15" t="s">
        <v>7</v>
      </c>
      <c r="I11" s="17" t="s">
        <v>123</v>
      </c>
    </row>
    <row r="12" ht="14.25" customHeight="1">
      <c r="A12" s="176" t="s">
        <v>120</v>
      </c>
      <c r="C12" s="184">
        <f>C4*DATOS!D21</f>
        <v>341.1674</v>
      </c>
      <c r="D12" s="184">
        <f>D4*DATOS!E21</f>
        <v>2125.6347</v>
      </c>
      <c r="E12" s="184">
        <f>E4*DATOS!F21</f>
        <v>1774.4517</v>
      </c>
      <c r="F12" s="184">
        <f>F4*DATOS!G21</f>
        <v>570.654</v>
      </c>
      <c r="G12" s="184">
        <f>G4*DATOS!H21</f>
        <v>165.9189</v>
      </c>
      <c r="H12" s="184">
        <f>H4*DATOS!I21</f>
        <v>77.0378</v>
      </c>
      <c r="I12" s="185">
        <f t="shared" ref="I12:I15" si="1">SUM(C12:H12)</f>
        <v>5054.8645</v>
      </c>
    </row>
    <row r="13" ht="14.25" customHeight="1">
      <c r="A13" s="9" t="s">
        <v>116</v>
      </c>
      <c r="C13" s="186">
        <f>C5*'LOGÍSTICA'!C5*'LOGÍSTICA'!$B$4</f>
        <v>-120</v>
      </c>
      <c r="D13" s="186">
        <f>D5*'LOGÍSTICA'!D5*'LOGÍSTICA'!$B$4</f>
        <v>-120</v>
      </c>
      <c r="E13" s="186">
        <f>E5*'LOGÍSTICA'!E5*'LOGÍSTICA'!$B$4</f>
        <v>-120</v>
      </c>
      <c r="F13" s="186">
        <f>F5*'LOGÍSTICA'!F5*'LOGÍSTICA'!$B$4</f>
        <v>-120</v>
      </c>
      <c r="G13" s="186">
        <f>G5*'LOGÍSTICA'!G5*'LOGÍSTICA'!$B$4</f>
        <v>-120</v>
      </c>
      <c r="H13" s="186">
        <f>H5*'LOGÍSTICA'!H5*'LOGÍSTICA'!$B$4</f>
        <v>-120</v>
      </c>
      <c r="I13" s="185">
        <f t="shared" si="1"/>
        <v>-720</v>
      </c>
    </row>
    <row r="14" ht="14.25" customHeight="1">
      <c r="A14" s="9" t="s">
        <v>114</v>
      </c>
      <c r="C14" s="186">
        <f>'VALORIZACIÓN'!C6*'LOGÍSTICA'!C7*'LOGÍSTICA'!$B$4</f>
        <v>0</v>
      </c>
      <c r="D14" s="186">
        <f>'VALORIZACIÓN'!D6*'LOGÍSTICA'!D7*'LOGÍSTICA'!$B$4</f>
        <v>0</v>
      </c>
      <c r="E14" s="186">
        <f>'VALORIZACIÓN'!E6*'LOGÍSTICA'!E7*'LOGÍSTICA'!$B$4</f>
        <v>200</v>
      </c>
      <c r="F14" s="186">
        <f>'VALORIZACIÓN'!F6*'LOGÍSTICA'!F7*'LOGÍSTICA'!$B$4</f>
        <v>0</v>
      </c>
      <c r="G14" s="186">
        <f>'VALORIZACIÓN'!G6*'LOGÍSTICA'!G7*'LOGÍSTICA'!$B$4</f>
        <v>0</v>
      </c>
      <c r="H14" s="186">
        <f>'VALORIZACIÓN'!H6*'LOGÍSTICA'!H7*'LOGÍSTICA'!$B$4</f>
        <v>0</v>
      </c>
      <c r="I14" s="185">
        <f t="shared" si="1"/>
        <v>200</v>
      </c>
    </row>
    <row r="15" ht="14.25" customHeight="1">
      <c r="A15" s="9" t="s">
        <v>117</v>
      </c>
      <c r="C15" s="186">
        <f>C7*'LOGÍSTICA'!C8*'LOGÍSTICA'!$B$4</f>
        <v>0</v>
      </c>
      <c r="D15" s="186">
        <f>D7*'LOGÍSTICA'!D8*'LOGÍSTICA'!$B$4</f>
        <v>0</v>
      </c>
      <c r="E15" s="186">
        <f>E7*'LOGÍSTICA'!E8*'LOGÍSTICA'!$B$4</f>
        <v>0</v>
      </c>
      <c r="F15" s="186">
        <f>F7*'LOGÍSTICA'!F8*'LOGÍSTICA'!$B$4</f>
        <v>0</v>
      </c>
      <c r="G15" s="186">
        <f>G7*'LOGÍSTICA'!G8*'LOGÍSTICA'!$B$4</f>
        <v>0</v>
      </c>
      <c r="H15" s="186">
        <f>H7*'LOGÍSTICA'!H8*'LOGÍSTICA'!$B$4</f>
        <v>0</v>
      </c>
      <c r="I15" s="185">
        <f t="shared" si="1"/>
        <v>0</v>
      </c>
    </row>
    <row r="16" ht="14.25" customHeight="1">
      <c r="I16" s="123"/>
    </row>
    <row r="17" ht="14.25" customHeight="1">
      <c r="A17" s="187" t="s">
        <v>115</v>
      </c>
      <c r="B17" s="188"/>
      <c r="C17" s="188"/>
      <c r="D17" s="188"/>
      <c r="E17" s="188"/>
      <c r="F17" s="188"/>
      <c r="G17" s="188"/>
      <c r="H17" s="188"/>
      <c r="I17" s="189">
        <f>AGROCOMPOSTAJE!I77</f>
        <v>1904.271111</v>
      </c>
    </row>
    <row r="18" ht="14.25" customHeight="1">
      <c r="H18" s="125"/>
      <c r="I18" s="123"/>
    </row>
    <row r="19" ht="14.25" customHeight="1">
      <c r="G19" s="190"/>
      <c r="H19" s="191" t="s">
        <v>124</v>
      </c>
      <c r="I19" s="192">
        <f>SUM(I12:I17)</f>
        <v>6439.135611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2021-06-18T11:52:40Z</dcterms:created>
  <dc:creator>Gabriel Garcia Martinez</dc:creator>
</cp:coreProperties>
</file>